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Cong Nguyen\2024\Cong van UB\Thang 08\"/>
    </mc:Choice>
  </mc:AlternateContent>
  <bookViews>
    <workbookView xWindow="0" yWindow="0" windowWidth="24000" windowHeight="9480" firstSheet="1" activeTab="6"/>
  </bookViews>
  <sheets>
    <sheet name="B1 THTW" sheetId="37" state="hidden" r:id="rId1"/>
    <sheet name="B.I THDP" sheetId="36" r:id="rId2"/>
    <sheet name="B.II TW trong nuoc" sheetId="1" r:id="rId3"/>
    <sheet name="B.III ODA" sheetId="38" r:id="rId4"/>
    <sheet name="B.IV NST" sheetId="41" r:id="rId5"/>
    <sheet name="B.V CTMTQG" sheetId="46" r:id="rId6"/>
    <sheet name="B.V.1 CTMTQG" sheetId="42" r:id="rId7"/>
    <sheet name="B.V.3. CTMTQG" sheetId="50" r:id="rId8"/>
    <sheet name="B.V.5. CTMTQG" sheetId="48" r:id="rId9"/>
    <sheet name="B.VI nguon thu" sheetId="40" r:id="rId10"/>
  </sheets>
  <definedNames>
    <definedName name="_xlnm._FilterDatabase" localSheetId="2" hidden="1">'B.II TW trong nuoc'!$A$11:$AB$40</definedName>
    <definedName name="_xlnm.Print_Area" localSheetId="1">'B.I THDP'!$A$1:$K$27</definedName>
    <definedName name="_xlnm.Print_Area" localSheetId="2">'B.II TW trong nuoc'!$A$1:$AA$55</definedName>
    <definedName name="_xlnm.Print_Area" localSheetId="3">'B.III ODA'!$A$1:$BL$18</definedName>
    <definedName name="_xlnm.Print_Area" localSheetId="4">'B.IV NST'!$A$2:$AA$367</definedName>
    <definedName name="_xlnm.Print_Area" localSheetId="6">'B.V.1 CTMTQG'!$A$2:$AF$90</definedName>
    <definedName name="_xlnm.Print_Area" localSheetId="9">'B.VI nguon thu'!$A$1:$AA$62</definedName>
    <definedName name="_xlnm.Print_Area" localSheetId="0">'B1 THTW'!$A$1:$I$14</definedName>
    <definedName name="_xlnm.Print_Titles" localSheetId="1">'B.I THDP'!$5:$6</definedName>
    <definedName name="_xlnm.Print_Titles" localSheetId="2">'B.II TW trong nuoc'!$6:$11</definedName>
    <definedName name="_xlnm.Print_Titles" localSheetId="3">'B.III ODA'!$5:$12</definedName>
    <definedName name="_xlnm.Print_Titles" localSheetId="4">'B.IV NST'!$6:$11</definedName>
    <definedName name="_xlnm.Print_Titles" localSheetId="5">'B.V CTMTQG'!$6:$6</definedName>
    <definedName name="_xlnm.Print_Titles" localSheetId="6">'B.V.1 CTMTQG'!$6:$12</definedName>
    <definedName name="_xlnm.Print_Titles" localSheetId="7">'B.V.3. CTMTQG'!$5:$13</definedName>
    <definedName name="_xlnm.Print_Titles" localSheetId="9">'B.VI nguon thu'!$6:$11</definedName>
  </definedNames>
  <calcPr calcId="162913"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6" l="1"/>
  <c r="A4" i="1"/>
  <c r="M27" i="36" l="1"/>
  <c r="L27" i="36"/>
  <c r="M25" i="36"/>
  <c r="L25" i="36"/>
  <c r="M19" i="36"/>
  <c r="L19" i="36"/>
  <c r="V29" i="1" l="1"/>
  <c r="W19" i="1"/>
  <c r="AD29" i="1" l="1"/>
  <c r="AE29" i="1" s="1"/>
  <c r="AD36" i="1"/>
  <c r="AE36" i="1" s="1"/>
  <c r="AD30" i="1"/>
  <c r="AE30" i="1" s="1"/>
  <c r="AD26" i="1"/>
  <c r="AE26" i="1" s="1"/>
  <c r="AD25" i="1"/>
  <c r="AE25" i="1" s="1"/>
  <c r="AD22" i="1"/>
  <c r="AE22" i="1" s="1"/>
  <c r="AD21" i="1"/>
  <c r="AE21" i="1" s="1"/>
  <c r="AD20" i="1"/>
  <c r="AE20" i="1" s="1"/>
  <c r="AD19" i="1"/>
  <c r="AE19" i="1" s="1"/>
  <c r="AD18" i="1"/>
  <c r="AE18" i="1" s="1"/>
  <c r="I19" i="1"/>
  <c r="I16" i="36" l="1"/>
  <c r="J16" i="36" s="1"/>
  <c r="H15" i="36"/>
  <c r="I15" i="36" s="1"/>
  <c r="J15" i="36" s="1"/>
  <c r="H14" i="36"/>
  <c r="I14" i="36" s="1"/>
  <c r="J14" i="36" s="1"/>
  <c r="H13" i="36"/>
  <c r="I13" i="36" s="1"/>
  <c r="J13" i="36" s="1"/>
  <c r="H12" i="36"/>
  <c r="I12" i="36" s="1"/>
  <c r="J12" i="36" s="1"/>
  <c r="M12" i="36" l="1"/>
  <c r="L12" i="36"/>
  <c r="M14" i="36"/>
  <c r="L14" i="36"/>
  <c r="L13" i="36"/>
  <c r="M13" i="36"/>
  <c r="L15" i="36"/>
  <c r="M15" i="36"/>
  <c r="F12" i="36"/>
  <c r="F13" i="36"/>
  <c r="F14" i="36"/>
  <c r="F15" i="36"/>
  <c r="E16" i="36"/>
  <c r="F16" i="36" s="1"/>
  <c r="E15" i="36"/>
  <c r="E14" i="36"/>
  <c r="E13" i="36"/>
  <c r="E12" i="36"/>
  <c r="J11" i="36" l="1"/>
  <c r="I11" i="36"/>
  <c r="H11" i="36"/>
  <c r="G11" i="36"/>
  <c r="F11" i="36"/>
  <c r="E11" i="36"/>
  <c r="D11" i="36"/>
  <c r="C11" i="36"/>
  <c r="X12" i="41" l="1"/>
  <c r="M11" i="36"/>
  <c r="L11" i="36"/>
  <c r="E24" i="36"/>
  <c r="E23" i="36"/>
  <c r="E22" i="36"/>
  <c r="H24" i="36" l="1"/>
  <c r="I24" i="36" s="1"/>
  <c r="J24" i="36" s="1"/>
  <c r="H23" i="36"/>
  <c r="I23" i="36" s="1"/>
  <c r="J23" i="36" s="1"/>
  <c r="H22" i="36"/>
  <c r="I22" i="36" s="1"/>
  <c r="J22" i="36" s="1"/>
  <c r="G20" i="36"/>
  <c r="M23" i="36" l="1"/>
  <c r="L23" i="36"/>
  <c r="M24" i="36"/>
  <c r="L24" i="36"/>
  <c r="M22" i="36"/>
  <c r="L22" i="36"/>
  <c r="I20" i="36"/>
  <c r="H21" i="36"/>
  <c r="H18" i="36" l="1"/>
  <c r="H17" i="36" s="1"/>
  <c r="H9" i="36" s="1"/>
  <c r="K15" i="38"/>
  <c r="K14" i="38" s="1"/>
  <c r="H15" i="38"/>
  <c r="H14" i="38" s="1"/>
  <c r="BK16" i="38"/>
  <c r="BK15" i="38" s="1"/>
  <c r="BK14" i="38" s="1"/>
  <c r="BJ16" i="38"/>
  <c r="BJ15" i="38" s="1"/>
  <c r="BJ14" i="38" s="1"/>
  <c r="J26" i="36" s="1"/>
  <c r="BI16" i="38"/>
  <c r="BI15" i="38" s="1"/>
  <c r="BI14" i="38" s="1"/>
  <c r="BH16" i="38"/>
  <c r="BH15" i="38" s="1"/>
  <c r="BH14" i="38" s="1"/>
  <c r="BG16" i="38"/>
  <c r="BG15" i="38" s="1"/>
  <c r="BG14" i="38" s="1"/>
  <c r="BF16" i="38"/>
  <c r="BF15" i="38" s="1"/>
  <c r="BF14" i="38" s="1"/>
  <c r="BE16" i="38"/>
  <c r="BE15" i="38" s="1"/>
  <c r="BE14" i="38" s="1"/>
  <c r="BD16" i="38"/>
  <c r="BD15" i="38" s="1"/>
  <c r="BD14" i="38" s="1"/>
  <c r="BC16" i="38"/>
  <c r="BC15" i="38" s="1"/>
  <c r="BC14" i="38" s="1"/>
  <c r="BB16" i="38"/>
  <c r="BB15" i="38" s="1"/>
  <c r="BB14" i="38" s="1"/>
  <c r="BA16" i="38"/>
  <c r="BA15" i="38" s="1"/>
  <c r="BA14" i="38" s="1"/>
  <c r="AZ16" i="38"/>
  <c r="AZ15" i="38" s="1"/>
  <c r="AZ14" i="38" s="1"/>
  <c r="AY16" i="38"/>
  <c r="AY15" i="38" s="1"/>
  <c r="AY14" i="38" s="1"/>
  <c r="AX16" i="38"/>
  <c r="AX15" i="38" s="1"/>
  <c r="AX14" i="38" s="1"/>
  <c r="AW16" i="38"/>
  <c r="AW15" i="38" s="1"/>
  <c r="AW14" i="38" s="1"/>
  <c r="AV16" i="38"/>
  <c r="AV15" i="38" s="1"/>
  <c r="AV14" i="38" s="1"/>
  <c r="F26" i="36" s="1"/>
  <c r="AU16" i="38"/>
  <c r="AU15" i="38" s="1"/>
  <c r="AU14" i="38" s="1"/>
  <c r="AT16" i="38"/>
  <c r="AT15" i="38" s="1"/>
  <c r="AT14" i="38" s="1"/>
  <c r="AS16" i="38"/>
  <c r="AS15" i="38" s="1"/>
  <c r="AS14" i="38" s="1"/>
  <c r="AR16" i="38"/>
  <c r="AR15" i="38" s="1"/>
  <c r="AR14" i="38" s="1"/>
  <c r="AQ16" i="38"/>
  <c r="AQ15" i="38" s="1"/>
  <c r="AQ14" i="38" s="1"/>
  <c r="AP16" i="38"/>
  <c r="AP15" i="38" s="1"/>
  <c r="AP14" i="38" s="1"/>
  <c r="AO16" i="38"/>
  <c r="AO15" i="38" s="1"/>
  <c r="AO14" i="38" s="1"/>
  <c r="E26" i="36" s="1"/>
  <c r="AN16" i="38"/>
  <c r="AN15" i="38" s="1"/>
  <c r="AN14" i="38" s="1"/>
  <c r="AM16" i="38"/>
  <c r="AM15" i="38" s="1"/>
  <c r="AM14" i="38" s="1"/>
  <c r="AL16" i="38"/>
  <c r="AL15" i="38" s="1"/>
  <c r="AL14" i="38" s="1"/>
  <c r="AK16" i="38"/>
  <c r="AK15" i="38" s="1"/>
  <c r="AK14" i="38" s="1"/>
  <c r="AJ16" i="38"/>
  <c r="AJ15" i="38" s="1"/>
  <c r="AJ14" i="38" s="1"/>
  <c r="AI16" i="38"/>
  <c r="AI15" i="38" s="1"/>
  <c r="AI14" i="38" s="1"/>
  <c r="AH16" i="38"/>
  <c r="AH15" i="38" s="1"/>
  <c r="AH14" i="38" s="1"/>
  <c r="D26" i="36" s="1"/>
  <c r="AG16" i="38"/>
  <c r="AG15" i="38" s="1"/>
  <c r="AG14" i="38" s="1"/>
  <c r="AF16" i="38"/>
  <c r="AF15" i="38" s="1"/>
  <c r="AF14" i="38" s="1"/>
  <c r="AE16" i="38"/>
  <c r="AE15" i="38" s="1"/>
  <c r="AE14" i="38" s="1"/>
  <c r="AD16" i="38"/>
  <c r="AD15" i="38" s="1"/>
  <c r="AD14" i="38" s="1"/>
  <c r="AC16" i="38"/>
  <c r="AC15" i="38" s="1"/>
  <c r="AC14" i="38" s="1"/>
  <c r="AB16" i="38"/>
  <c r="AB15" i="38" s="1"/>
  <c r="AB14" i="38" s="1"/>
  <c r="AA16" i="38"/>
  <c r="AA15" i="38" s="1"/>
  <c r="AA14" i="38" s="1"/>
  <c r="C26" i="36" s="1"/>
  <c r="Z16" i="38"/>
  <c r="Z15" i="38" s="1"/>
  <c r="Z14" i="38" s="1"/>
  <c r="Y16" i="38"/>
  <c r="Y15" i="38" s="1"/>
  <c r="Y14" i="38" s="1"/>
  <c r="X16" i="38"/>
  <c r="X15" i="38" s="1"/>
  <c r="X14" i="38" s="1"/>
  <c r="W16" i="38"/>
  <c r="W15" i="38" s="1"/>
  <c r="W14" i="38" s="1"/>
  <c r="V16" i="38"/>
  <c r="V15" i="38" s="1"/>
  <c r="V14" i="38" s="1"/>
  <c r="U16" i="38"/>
  <c r="U15" i="38" s="1"/>
  <c r="U14" i="38" s="1"/>
  <c r="T16" i="38"/>
  <c r="T15" i="38" s="1"/>
  <c r="T14" i="38" s="1"/>
  <c r="S16" i="38"/>
  <c r="S15" i="38" s="1"/>
  <c r="S14" i="38" s="1"/>
  <c r="R16" i="38"/>
  <c r="R15" i="38" s="1"/>
  <c r="R14" i="38" s="1"/>
  <c r="Q16" i="38"/>
  <c r="Q15" i="38" s="1"/>
  <c r="Q14" i="38" s="1"/>
  <c r="P16" i="38"/>
  <c r="P15" i="38" s="1"/>
  <c r="P14" i="38" s="1"/>
  <c r="O16" i="38"/>
  <c r="O15" i="38" s="1"/>
  <c r="O14" i="38" s="1"/>
  <c r="N16" i="38"/>
  <c r="N15" i="38" s="1"/>
  <c r="N14" i="38" s="1"/>
  <c r="M16" i="38"/>
  <c r="M15" i="38" s="1"/>
  <c r="M14" i="38" s="1"/>
  <c r="L16" i="38"/>
  <c r="L15" i="38" s="1"/>
  <c r="L14" i="38" s="1"/>
  <c r="J16" i="38"/>
  <c r="J15" i="38" s="1"/>
  <c r="J14" i="38" s="1"/>
  <c r="I16" i="38"/>
  <c r="I15" i="38" s="1"/>
  <c r="I14" i="38" s="1"/>
  <c r="H16" i="38"/>
  <c r="N26" i="36" l="1"/>
  <c r="M26" i="36"/>
  <c r="L26" i="36"/>
  <c r="I26" i="36"/>
  <c r="W18" i="1"/>
  <c r="W21" i="1"/>
  <c r="W20" i="1"/>
  <c r="Z28" i="1"/>
  <c r="Y28" i="1"/>
  <c r="X28" i="1"/>
  <c r="V28" i="1"/>
  <c r="U28" i="1"/>
  <c r="S28" i="1"/>
  <c r="R28" i="1"/>
  <c r="Q28" i="1"/>
  <c r="P28" i="1"/>
  <c r="O28" i="1"/>
  <c r="N28" i="1"/>
  <c r="M28" i="1"/>
  <c r="L28" i="1"/>
  <c r="K28" i="1"/>
  <c r="J28" i="1"/>
  <c r="H28" i="1"/>
  <c r="W30" i="1"/>
  <c r="W28" i="1" s="1"/>
  <c r="I30" i="1"/>
  <c r="G30" i="1"/>
  <c r="G28" i="1" s="1"/>
  <c r="W40" i="1"/>
  <c r="AD28" i="1" l="1"/>
  <c r="AE28" i="1"/>
  <c r="I29" i="1"/>
  <c r="I28" i="1" s="1"/>
  <c r="U22" i="1"/>
  <c r="W22" i="1"/>
  <c r="Q36" i="1"/>
  <c r="T36" i="1"/>
  <c r="S36" i="1" s="1"/>
  <c r="R36" i="1"/>
  <c r="T29" i="1"/>
  <c r="T28" i="1" s="1"/>
  <c r="T21" i="1" l="1"/>
  <c r="S21" i="1"/>
  <c r="Q21" i="1"/>
  <c r="S22" i="1" l="1"/>
  <c r="Q22" i="1"/>
  <c r="O22" i="1"/>
  <c r="U19" i="1"/>
  <c r="Q19" i="1"/>
  <c r="O19" i="1"/>
  <c r="M19" i="1" l="1"/>
  <c r="V40" i="1" l="1"/>
  <c r="J39" i="1"/>
  <c r="Z39" i="1"/>
  <c r="Z38" i="1" s="1"/>
  <c r="Z37" i="1" s="1"/>
  <c r="Y39" i="1"/>
  <c r="Y38" i="1" s="1"/>
  <c r="Y37" i="1" s="1"/>
  <c r="X39" i="1"/>
  <c r="W39" i="1"/>
  <c r="W38" i="1" s="1"/>
  <c r="W37" i="1" s="1"/>
  <c r="U39" i="1"/>
  <c r="U38" i="1" s="1"/>
  <c r="U37" i="1" s="1"/>
  <c r="T39" i="1"/>
  <c r="T38" i="1" s="1"/>
  <c r="T37" i="1" s="1"/>
  <c r="S39" i="1"/>
  <c r="S38" i="1" s="1"/>
  <c r="S37" i="1" s="1"/>
  <c r="R39" i="1"/>
  <c r="R38" i="1" s="1"/>
  <c r="R37" i="1" s="1"/>
  <c r="Q39" i="1"/>
  <c r="Q38" i="1" s="1"/>
  <c r="Q37" i="1" s="1"/>
  <c r="P39" i="1"/>
  <c r="P38" i="1" s="1"/>
  <c r="P37" i="1" s="1"/>
  <c r="O39" i="1"/>
  <c r="O38" i="1" s="1"/>
  <c r="O37" i="1" s="1"/>
  <c r="N39" i="1"/>
  <c r="N38" i="1" s="1"/>
  <c r="N37" i="1" s="1"/>
  <c r="M39" i="1"/>
  <c r="M38" i="1" s="1"/>
  <c r="M37" i="1" s="1"/>
  <c r="L39" i="1"/>
  <c r="L38" i="1" s="1"/>
  <c r="L37" i="1" s="1"/>
  <c r="K39" i="1"/>
  <c r="K38" i="1" s="1"/>
  <c r="K37" i="1" s="1"/>
  <c r="I39" i="1"/>
  <c r="I38" i="1" s="1"/>
  <c r="I37" i="1" s="1"/>
  <c r="H39" i="1"/>
  <c r="H38" i="1" s="1"/>
  <c r="H37" i="1" s="1"/>
  <c r="G39" i="1"/>
  <c r="G38" i="1" s="1"/>
  <c r="G37" i="1" s="1"/>
  <c r="U36" i="1"/>
  <c r="O36" i="1"/>
  <c r="O34" i="1" s="1"/>
  <c r="O33" i="1" s="1"/>
  <c r="O32" i="1" s="1"/>
  <c r="O31" i="1" s="1"/>
  <c r="V35" i="1"/>
  <c r="I35" i="1"/>
  <c r="I34" i="1" s="1"/>
  <c r="I33" i="1" s="1"/>
  <c r="I32" i="1" s="1"/>
  <c r="I31" i="1" s="1"/>
  <c r="Z34" i="1"/>
  <c r="Z33" i="1" s="1"/>
  <c r="Z32" i="1" s="1"/>
  <c r="Z31" i="1" s="1"/>
  <c r="Y34" i="1"/>
  <c r="Y33" i="1" s="1"/>
  <c r="Y32" i="1" s="1"/>
  <c r="Y31" i="1" s="1"/>
  <c r="X34" i="1"/>
  <c r="X33" i="1" s="1"/>
  <c r="X32" i="1" s="1"/>
  <c r="X31" i="1" s="1"/>
  <c r="W34" i="1"/>
  <c r="W33" i="1" s="1"/>
  <c r="W32" i="1" s="1"/>
  <c r="W31" i="1" s="1"/>
  <c r="T34" i="1"/>
  <c r="T33" i="1" s="1"/>
  <c r="T32" i="1" s="1"/>
  <c r="T31" i="1" s="1"/>
  <c r="S34" i="1"/>
  <c r="S33" i="1" s="1"/>
  <c r="S32" i="1" s="1"/>
  <c r="S31" i="1" s="1"/>
  <c r="R34" i="1"/>
  <c r="R33" i="1" s="1"/>
  <c r="R32" i="1" s="1"/>
  <c r="R31" i="1" s="1"/>
  <c r="Q34" i="1"/>
  <c r="Q33" i="1" s="1"/>
  <c r="Q32" i="1" s="1"/>
  <c r="Q31" i="1" s="1"/>
  <c r="P34" i="1"/>
  <c r="P33" i="1" s="1"/>
  <c r="P32" i="1" s="1"/>
  <c r="P31" i="1" s="1"/>
  <c r="N34" i="1"/>
  <c r="N33" i="1" s="1"/>
  <c r="N32" i="1" s="1"/>
  <c r="N31" i="1" s="1"/>
  <c r="M34" i="1"/>
  <c r="M33" i="1" s="1"/>
  <c r="M32" i="1" s="1"/>
  <c r="M31" i="1" s="1"/>
  <c r="L34" i="1"/>
  <c r="L33" i="1" s="1"/>
  <c r="L32" i="1" s="1"/>
  <c r="L31" i="1" s="1"/>
  <c r="K34" i="1"/>
  <c r="K33" i="1" s="1"/>
  <c r="K32" i="1" s="1"/>
  <c r="K31" i="1" s="1"/>
  <c r="J34" i="1"/>
  <c r="H34" i="1"/>
  <c r="H33" i="1" s="1"/>
  <c r="H32" i="1" s="1"/>
  <c r="H31" i="1" s="1"/>
  <c r="G34" i="1"/>
  <c r="G33" i="1" s="1"/>
  <c r="G32" i="1" s="1"/>
  <c r="G31" i="1" s="1"/>
  <c r="V27" i="1"/>
  <c r="R27" i="1"/>
  <c r="J27" i="1"/>
  <c r="Z27" i="1"/>
  <c r="Y27" i="1"/>
  <c r="X27" i="1"/>
  <c r="W27" i="1"/>
  <c r="U27" i="1"/>
  <c r="T27" i="1"/>
  <c r="S27" i="1"/>
  <c r="Q27" i="1"/>
  <c r="P27" i="1"/>
  <c r="O27" i="1"/>
  <c r="N27" i="1"/>
  <c r="M27" i="1"/>
  <c r="L27" i="1"/>
  <c r="K27" i="1"/>
  <c r="I27" i="1"/>
  <c r="H27" i="1"/>
  <c r="G27" i="1"/>
  <c r="U25" i="1"/>
  <c r="I25" i="1"/>
  <c r="I24" i="1" s="1"/>
  <c r="I23" i="1" s="1"/>
  <c r="H25" i="1"/>
  <c r="H24" i="1" s="1"/>
  <c r="H23" i="1" s="1"/>
  <c r="Z24" i="1"/>
  <c r="Z23" i="1" s="1"/>
  <c r="Y24" i="1"/>
  <c r="Y23" i="1" s="1"/>
  <c r="X24" i="1"/>
  <c r="W24" i="1"/>
  <c r="W23" i="1" s="1"/>
  <c r="V24" i="1"/>
  <c r="V23" i="1" s="1"/>
  <c r="U24" i="1"/>
  <c r="U23" i="1" s="1"/>
  <c r="T24" i="1"/>
  <c r="T23" i="1" s="1"/>
  <c r="S24" i="1"/>
  <c r="S23" i="1" s="1"/>
  <c r="R24" i="1"/>
  <c r="R23" i="1" s="1"/>
  <c r="Q24" i="1"/>
  <c r="Q23" i="1" s="1"/>
  <c r="P24" i="1"/>
  <c r="P23" i="1" s="1"/>
  <c r="O24" i="1"/>
  <c r="O23" i="1" s="1"/>
  <c r="N24" i="1"/>
  <c r="N23" i="1" s="1"/>
  <c r="M24" i="1"/>
  <c r="M23" i="1" s="1"/>
  <c r="L24" i="1"/>
  <c r="L23" i="1" s="1"/>
  <c r="K24" i="1"/>
  <c r="K23" i="1" s="1"/>
  <c r="J24" i="1"/>
  <c r="G24" i="1"/>
  <c r="G23" i="1" s="1"/>
  <c r="X17" i="1"/>
  <c r="M22" i="1"/>
  <c r="M17" i="1" s="1"/>
  <c r="M16" i="1" s="1"/>
  <c r="I22" i="1"/>
  <c r="U21" i="1"/>
  <c r="U20" i="1"/>
  <c r="I20" i="1"/>
  <c r="R18" i="1"/>
  <c r="R17" i="1" s="1"/>
  <c r="R16" i="1" s="1"/>
  <c r="I18" i="1"/>
  <c r="Z17" i="1"/>
  <c r="Z16" i="1" s="1"/>
  <c r="Y17" i="1"/>
  <c r="Y16" i="1" s="1"/>
  <c r="W17" i="1"/>
  <c r="W16" i="1" s="1"/>
  <c r="V17" i="1"/>
  <c r="V16" i="1" s="1"/>
  <c r="T17" i="1"/>
  <c r="T16" i="1" s="1"/>
  <c r="S17" i="1"/>
  <c r="S16" i="1" s="1"/>
  <c r="Q17" i="1"/>
  <c r="Q16" i="1" s="1"/>
  <c r="P17" i="1"/>
  <c r="P16" i="1" s="1"/>
  <c r="O17" i="1"/>
  <c r="O16" i="1" s="1"/>
  <c r="N17" i="1"/>
  <c r="N16" i="1" s="1"/>
  <c r="L17" i="1"/>
  <c r="L16" i="1" s="1"/>
  <c r="K17" i="1"/>
  <c r="K16" i="1" s="1"/>
  <c r="J17" i="1"/>
  <c r="H17" i="1"/>
  <c r="H16" i="1" s="1"/>
  <c r="G17" i="1"/>
  <c r="G16" i="1" s="1"/>
  <c r="U35" i="1" l="1"/>
  <c r="AD35" i="1"/>
  <c r="AE35" i="1" s="1"/>
  <c r="J16" i="1"/>
  <c r="AD16" i="1" s="1"/>
  <c r="AD17" i="1"/>
  <c r="AE17" i="1" s="1"/>
  <c r="J33" i="1"/>
  <c r="AD34" i="1"/>
  <c r="AE34" i="1" s="1"/>
  <c r="J23" i="1"/>
  <c r="AD23" i="1" s="1"/>
  <c r="AD24" i="1"/>
  <c r="J38" i="1"/>
  <c r="AD27" i="1"/>
  <c r="V39" i="1"/>
  <c r="V38" i="1" s="1"/>
  <c r="V37" i="1" s="1"/>
  <c r="AD40" i="1"/>
  <c r="AE40" i="1" s="1"/>
  <c r="X23" i="1"/>
  <c r="AE24" i="1"/>
  <c r="X38" i="1"/>
  <c r="X16" i="1"/>
  <c r="AE27" i="1"/>
  <c r="V34" i="1"/>
  <c r="V33" i="1" s="1"/>
  <c r="V32" i="1" s="1"/>
  <c r="V31" i="1" s="1"/>
  <c r="O15" i="1"/>
  <c r="O14" i="1" s="1"/>
  <c r="O13" i="1" s="1"/>
  <c r="D20" i="36" s="1"/>
  <c r="K15" i="1"/>
  <c r="K14" i="1" s="1"/>
  <c r="K13" i="1" s="1"/>
  <c r="Z15" i="1"/>
  <c r="Z14" i="1" s="1"/>
  <c r="Z13" i="1" s="1"/>
  <c r="S15" i="1"/>
  <c r="S14" i="1" s="1"/>
  <c r="S13" i="1" s="1"/>
  <c r="P15" i="1"/>
  <c r="P14" i="1" s="1"/>
  <c r="P13" i="1" s="1"/>
  <c r="E20" i="36" s="1"/>
  <c r="H15" i="1"/>
  <c r="H14" i="1" s="1"/>
  <c r="H13" i="1" s="1"/>
  <c r="T15" i="1"/>
  <c r="T14" i="1" s="1"/>
  <c r="T13" i="1" s="1"/>
  <c r="F20" i="36" s="1"/>
  <c r="Q15" i="1"/>
  <c r="Q14" i="1" s="1"/>
  <c r="Q13" i="1" s="1"/>
  <c r="W15" i="1"/>
  <c r="W14" i="1" s="1"/>
  <c r="W13" i="1" s="1"/>
  <c r="U17" i="1"/>
  <c r="U16" i="1" s="1"/>
  <c r="U15" i="1" s="1"/>
  <c r="U14" i="1" s="1"/>
  <c r="Y15" i="1"/>
  <c r="Y14" i="1" s="1"/>
  <c r="Y13" i="1" s="1"/>
  <c r="R15" i="1"/>
  <c r="R14" i="1" s="1"/>
  <c r="R13" i="1" s="1"/>
  <c r="L15" i="1"/>
  <c r="L14" i="1" s="1"/>
  <c r="L13" i="1" s="1"/>
  <c r="U34" i="1"/>
  <c r="U33" i="1" s="1"/>
  <c r="U32" i="1" s="1"/>
  <c r="U31" i="1" s="1"/>
  <c r="V15" i="1"/>
  <c r="I17" i="1"/>
  <c r="I16" i="1" s="1"/>
  <c r="I15" i="1" s="1"/>
  <c r="I14" i="1" s="1"/>
  <c r="I13" i="1" s="1"/>
  <c r="G15" i="1"/>
  <c r="G14" i="1" s="1"/>
  <c r="G13" i="1" s="1"/>
  <c r="N15" i="1"/>
  <c r="N14" i="1" s="1"/>
  <c r="N13" i="1" s="1"/>
  <c r="C20" i="36" s="1"/>
  <c r="M15" i="1"/>
  <c r="M14" i="1" s="1"/>
  <c r="M13" i="1" s="1"/>
  <c r="Z368" i="41"/>
  <c r="Y368" i="41"/>
  <c r="X368" i="41"/>
  <c r="W368" i="41"/>
  <c r="V368" i="41"/>
  <c r="U368" i="41"/>
  <c r="T368" i="41"/>
  <c r="S368" i="41"/>
  <c r="R368" i="41"/>
  <c r="Q368" i="41"/>
  <c r="P368" i="41"/>
  <c r="O368" i="41"/>
  <c r="N368" i="41"/>
  <c r="M368" i="41"/>
  <c r="L368" i="41"/>
  <c r="K368" i="41"/>
  <c r="J368" i="41"/>
  <c r="I368" i="41"/>
  <c r="H368" i="41"/>
  <c r="G368" i="41"/>
  <c r="Z358" i="41"/>
  <c r="Y358" i="41"/>
  <c r="X358" i="41"/>
  <c r="W358" i="41"/>
  <c r="V358" i="41"/>
  <c r="T358" i="41"/>
  <c r="R358" i="41"/>
  <c r="P358" i="41"/>
  <c r="N358" i="41"/>
  <c r="L358" i="41"/>
  <c r="K358" i="41"/>
  <c r="J358" i="41"/>
  <c r="H358" i="41"/>
  <c r="G358" i="41"/>
  <c r="Z265" i="41"/>
  <c r="Y265" i="41"/>
  <c r="X265" i="41"/>
  <c r="W265" i="41"/>
  <c r="V265" i="41"/>
  <c r="T265" i="41"/>
  <c r="S265" i="41"/>
  <c r="R265" i="41"/>
  <c r="Q265" i="41"/>
  <c r="P265" i="41"/>
  <c r="O265" i="41"/>
  <c r="N265" i="41"/>
  <c r="M265" i="41"/>
  <c r="L265" i="41"/>
  <c r="K265" i="41"/>
  <c r="J265" i="41"/>
  <c r="H265" i="41"/>
  <c r="Z222" i="41"/>
  <c r="Y222" i="41"/>
  <c r="V222" i="41"/>
  <c r="P222" i="41"/>
  <c r="N222" i="41"/>
  <c r="L222" i="41"/>
  <c r="K222" i="41"/>
  <c r="J222" i="41"/>
  <c r="H222" i="41"/>
  <c r="Z190" i="41"/>
  <c r="Y190" i="41"/>
  <c r="X190" i="41"/>
  <c r="W190" i="41"/>
  <c r="V190" i="41"/>
  <c r="U190" i="41"/>
  <c r="T190" i="41"/>
  <c r="S190" i="41"/>
  <c r="R190" i="41"/>
  <c r="Q190" i="41"/>
  <c r="P190" i="41"/>
  <c r="O190" i="41"/>
  <c r="N190" i="41"/>
  <c r="M190" i="41"/>
  <c r="L190" i="41"/>
  <c r="K190" i="41"/>
  <c r="J190" i="41"/>
  <c r="I190" i="41"/>
  <c r="H190" i="41"/>
  <c r="G190" i="41"/>
  <c r="Z114" i="41"/>
  <c r="Y114" i="41"/>
  <c r="X114" i="41"/>
  <c r="V114" i="41"/>
  <c r="U114" i="41"/>
  <c r="T114" i="41"/>
  <c r="R114" i="41"/>
  <c r="Q114" i="41"/>
  <c r="P114" i="41"/>
  <c r="N114" i="41"/>
  <c r="M114" i="41"/>
  <c r="L114" i="41"/>
  <c r="K114" i="41"/>
  <c r="J114" i="41"/>
  <c r="H114" i="41"/>
  <c r="G114" i="41"/>
  <c r="Z147" i="41"/>
  <c r="Y147" i="41"/>
  <c r="X147" i="41"/>
  <c r="V147" i="41"/>
  <c r="U147" i="41"/>
  <c r="T147" i="41"/>
  <c r="S147" i="41"/>
  <c r="R147" i="41"/>
  <c r="Q147" i="41"/>
  <c r="P147" i="41"/>
  <c r="O147" i="41"/>
  <c r="N147" i="41"/>
  <c r="M147" i="41"/>
  <c r="L147" i="41"/>
  <c r="K147" i="41"/>
  <c r="J147" i="41"/>
  <c r="G147" i="41"/>
  <c r="AE23" i="1" l="1"/>
  <c r="J32" i="1"/>
  <c r="AD33" i="1"/>
  <c r="AE33" i="1" s="1"/>
  <c r="AE16" i="1"/>
  <c r="AD39" i="1"/>
  <c r="AE39" i="1" s="1"/>
  <c r="J15" i="1"/>
  <c r="J14" i="1" s="1"/>
  <c r="J37" i="1"/>
  <c r="AD37" i="1" s="1"/>
  <c r="AD38" i="1"/>
  <c r="AE38" i="1" s="1"/>
  <c r="X37" i="1"/>
  <c r="X15" i="1"/>
  <c r="X14" i="1" s="1"/>
  <c r="V14" i="1"/>
  <c r="U13" i="1"/>
  <c r="V13" i="1"/>
  <c r="J21" i="36"/>
  <c r="I21" i="36"/>
  <c r="G21" i="36"/>
  <c r="G18" i="36" s="1"/>
  <c r="F21" i="36"/>
  <c r="E21" i="36"/>
  <c r="D21" i="36"/>
  <c r="D18" i="36" s="1"/>
  <c r="D17" i="36" s="1"/>
  <c r="D9" i="36" s="1"/>
  <c r="C21" i="36"/>
  <c r="C18" i="36" s="1"/>
  <c r="C17" i="36" s="1"/>
  <c r="C9" i="36" s="1"/>
  <c r="Z15" i="48"/>
  <c r="Z14" i="48" s="1"/>
  <c r="Y15" i="48"/>
  <c r="Y14" i="48" s="1"/>
  <c r="X15" i="48"/>
  <c r="R15" i="48"/>
  <c r="R14" i="48" s="1"/>
  <c r="Q15" i="48"/>
  <c r="Q14" i="48" s="1"/>
  <c r="P15" i="48"/>
  <c r="J15" i="48"/>
  <c r="J14" i="48" s="1"/>
  <c r="I15" i="48"/>
  <c r="I14" i="48" s="1"/>
  <c r="H15" i="48"/>
  <c r="Z48" i="48"/>
  <c r="Y48" i="48"/>
  <c r="R48" i="48"/>
  <c r="Q48" i="48"/>
  <c r="J48" i="48"/>
  <c r="I48" i="48"/>
  <c r="AE53" i="48"/>
  <c r="AD53" i="48"/>
  <c r="AC53" i="48"/>
  <c r="AB53" i="48"/>
  <c r="AA53" i="48"/>
  <c r="Z53" i="48"/>
  <c r="Y53" i="48"/>
  <c r="X53" i="48"/>
  <c r="W53" i="48"/>
  <c r="V53" i="48"/>
  <c r="U53" i="48"/>
  <c r="T53" i="48"/>
  <c r="S53" i="48"/>
  <c r="R53" i="48"/>
  <c r="Q53" i="48"/>
  <c r="P53" i="48"/>
  <c r="O53" i="48"/>
  <c r="N53" i="48"/>
  <c r="M53" i="48"/>
  <c r="L53" i="48"/>
  <c r="K53" i="48"/>
  <c r="J53" i="48"/>
  <c r="I53" i="48"/>
  <c r="H53" i="48"/>
  <c r="G53" i="48"/>
  <c r="AE49" i="48"/>
  <c r="AE48" i="48" s="1"/>
  <c r="AD49" i="48"/>
  <c r="AD48" i="48" s="1"/>
  <c r="AC49" i="48"/>
  <c r="AC48" i="48" s="1"/>
  <c r="AB49" i="48"/>
  <c r="AB48" i="48" s="1"/>
  <c r="AA49" i="48"/>
  <c r="AA48" i="48" s="1"/>
  <c r="Z49" i="48"/>
  <c r="Y49" i="48"/>
  <c r="X49" i="48"/>
  <c r="X48" i="48" s="1"/>
  <c r="X14" i="48" s="1"/>
  <c r="W49" i="48"/>
  <c r="W48" i="48" s="1"/>
  <c r="V49" i="48"/>
  <c r="V48" i="48" s="1"/>
  <c r="U49" i="48"/>
  <c r="U48" i="48" s="1"/>
  <c r="T49" i="48"/>
  <c r="T48" i="48" s="1"/>
  <c r="S49" i="48"/>
  <c r="S48" i="48" s="1"/>
  <c r="R49" i="48"/>
  <c r="Q49" i="48"/>
  <c r="P49" i="48"/>
  <c r="P48" i="48" s="1"/>
  <c r="P14" i="48" s="1"/>
  <c r="O49" i="48"/>
  <c r="O48" i="48" s="1"/>
  <c r="N49" i="48"/>
  <c r="N48" i="48" s="1"/>
  <c r="M49" i="48"/>
  <c r="M48" i="48" s="1"/>
  <c r="L49" i="48"/>
  <c r="L48" i="48" s="1"/>
  <c r="K49" i="48"/>
  <c r="K48" i="48" s="1"/>
  <c r="J49" i="48"/>
  <c r="I49" i="48"/>
  <c r="H49" i="48"/>
  <c r="H48" i="48" s="1"/>
  <c r="H14" i="48" s="1"/>
  <c r="G49" i="48"/>
  <c r="G48" i="48" s="1"/>
  <c r="AE41" i="48"/>
  <c r="AD41" i="48"/>
  <c r="AC41" i="48"/>
  <c r="AB41" i="48"/>
  <c r="AA41" i="48"/>
  <c r="Z41" i="48"/>
  <c r="Y41" i="48"/>
  <c r="X41" i="48"/>
  <c r="W41" i="48"/>
  <c r="V41" i="48"/>
  <c r="U41" i="48"/>
  <c r="T41" i="48"/>
  <c r="S41" i="48"/>
  <c r="R41" i="48"/>
  <c r="Q41" i="48"/>
  <c r="P41" i="48"/>
  <c r="O41" i="48"/>
  <c r="N41" i="48"/>
  <c r="M41" i="48"/>
  <c r="L41" i="48"/>
  <c r="K41" i="48"/>
  <c r="J41" i="48"/>
  <c r="I41" i="48"/>
  <c r="H41" i="48"/>
  <c r="G41" i="48"/>
  <c r="AE16" i="48"/>
  <c r="AE15" i="48" s="1"/>
  <c r="AE14" i="48" s="1"/>
  <c r="AD16" i="48"/>
  <c r="AD15" i="48" s="1"/>
  <c r="AD14" i="48" s="1"/>
  <c r="AC16" i="48"/>
  <c r="AC15" i="48" s="1"/>
  <c r="AB16" i="48"/>
  <c r="AB15" i="48" s="1"/>
  <c r="AA16" i="48"/>
  <c r="AA15" i="48" s="1"/>
  <c r="AA14" i="48" s="1"/>
  <c r="Z16" i="48"/>
  <c r="Y16" i="48"/>
  <c r="X16" i="48"/>
  <c r="W16" i="48"/>
  <c r="W15" i="48" s="1"/>
  <c r="W14" i="48" s="1"/>
  <c r="V16" i="48"/>
  <c r="V15" i="48" s="1"/>
  <c r="V14" i="48" s="1"/>
  <c r="U16" i="48"/>
  <c r="U15" i="48" s="1"/>
  <c r="T16" i="48"/>
  <c r="T15" i="48" s="1"/>
  <c r="S16" i="48"/>
  <c r="S15" i="48" s="1"/>
  <c r="S14" i="48" s="1"/>
  <c r="R16" i="48"/>
  <c r="Q16" i="48"/>
  <c r="P16" i="48"/>
  <c r="O16" i="48"/>
  <c r="O15" i="48" s="1"/>
  <c r="O14" i="48" s="1"/>
  <c r="N16" i="48"/>
  <c r="N15" i="48" s="1"/>
  <c r="N14" i="48" s="1"/>
  <c r="M16" i="48"/>
  <c r="M15" i="48" s="1"/>
  <c r="L16" i="48"/>
  <c r="L15" i="48" s="1"/>
  <c r="K16" i="48"/>
  <c r="K15" i="48" s="1"/>
  <c r="K14" i="48" s="1"/>
  <c r="J16" i="48"/>
  <c r="I16" i="48"/>
  <c r="H16" i="48"/>
  <c r="G16" i="48"/>
  <c r="G15" i="48" s="1"/>
  <c r="G14" i="48" s="1"/>
  <c r="AY17" i="50"/>
  <c r="AX17" i="50"/>
  <c r="AW17" i="50"/>
  <c r="AV17" i="50"/>
  <c r="AU17" i="50"/>
  <c r="AT17" i="50"/>
  <c r="AS17" i="50"/>
  <c r="AR17" i="50"/>
  <c r="AQ17" i="50"/>
  <c r="AQ16" i="50" s="1"/>
  <c r="AP17" i="50"/>
  <c r="AO17" i="50"/>
  <c r="AN17" i="50"/>
  <c r="AM17" i="50"/>
  <c r="AL17" i="50"/>
  <c r="AK17" i="50"/>
  <c r="AJ17" i="50"/>
  <c r="AI17" i="50"/>
  <c r="AI16" i="50" s="1"/>
  <c r="AH17" i="50"/>
  <c r="AG17" i="50"/>
  <c r="AF17" i="50"/>
  <c r="AE17" i="50"/>
  <c r="AD17" i="50"/>
  <c r="AC17" i="50"/>
  <c r="AB17" i="50"/>
  <c r="AA17" i="50"/>
  <c r="AA16" i="50" s="1"/>
  <c r="Z17" i="50"/>
  <c r="Y17" i="50"/>
  <c r="X17" i="50"/>
  <c r="W17" i="50"/>
  <c r="V17" i="50"/>
  <c r="U17" i="50"/>
  <c r="T17" i="50"/>
  <c r="S17" i="50"/>
  <c r="S16" i="50" s="1"/>
  <c r="R17" i="50"/>
  <c r="Q17" i="50"/>
  <c r="P17" i="50"/>
  <c r="O17" i="50"/>
  <c r="N17" i="50"/>
  <c r="M17" i="50"/>
  <c r="L17" i="50"/>
  <c r="K17" i="50"/>
  <c r="K16" i="50" s="1"/>
  <c r="J17" i="50"/>
  <c r="I17" i="50"/>
  <c r="H17" i="50"/>
  <c r="G17" i="50"/>
  <c r="F17" i="50"/>
  <c r="E17" i="50"/>
  <c r="D17" i="50"/>
  <c r="C17" i="50"/>
  <c r="C16" i="50" s="1"/>
  <c r="AY21" i="50"/>
  <c r="AY16" i="50" s="1"/>
  <c r="AX21" i="50"/>
  <c r="AW21" i="50"/>
  <c r="AV21" i="50"/>
  <c r="AU21" i="50"/>
  <c r="AT21" i="50"/>
  <c r="AS21" i="50"/>
  <c r="AR21" i="50"/>
  <c r="AQ21" i="50"/>
  <c r="AP21" i="50"/>
  <c r="AO21" i="50"/>
  <c r="AN21" i="50"/>
  <c r="AM21" i="50"/>
  <c r="AL21" i="50"/>
  <c r="AK21" i="50"/>
  <c r="AJ21" i="50"/>
  <c r="AI21" i="50"/>
  <c r="AH21" i="50"/>
  <c r="AG21" i="50"/>
  <c r="AF21" i="50"/>
  <c r="AE21" i="50"/>
  <c r="AD21" i="50"/>
  <c r="AC21" i="50"/>
  <c r="AB21" i="50"/>
  <c r="AA21" i="50"/>
  <c r="Z21" i="50"/>
  <c r="Y21" i="50"/>
  <c r="X21" i="50"/>
  <c r="W21" i="50"/>
  <c r="V21" i="50"/>
  <c r="U21" i="50"/>
  <c r="T21" i="50"/>
  <c r="S21" i="50"/>
  <c r="R21" i="50"/>
  <c r="Q21" i="50"/>
  <c r="P21" i="50"/>
  <c r="O21" i="50"/>
  <c r="N21" i="50"/>
  <c r="M21" i="50"/>
  <c r="L21" i="50"/>
  <c r="K21" i="50"/>
  <c r="J21" i="50"/>
  <c r="I21" i="50"/>
  <c r="H21" i="50"/>
  <c r="G21" i="50"/>
  <c r="F21" i="50"/>
  <c r="E21" i="50"/>
  <c r="D21" i="50"/>
  <c r="C21" i="50"/>
  <c r="AY24" i="50"/>
  <c r="AX24" i="50"/>
  <c r="AW24" i="50"/>
  <c r="AV24" i="50"/>
  <c r="AU24" i="50"/>
  <c r="AT24" i="50"/>
  <c r="AS24" i="50"/>
  <c r="AR24" i="50"/>
  <c r="AQ24" i="50"/>
  <c r="AP24" i="50"/>
  <c r="AO24" i="50"/>
  <c r="AN24" i="50"/>
  <c r="AM24" i="50"/>
  <c r="AL24" i="50"/>
  <c r="AK24" i="50"/>
  <c r="AJ24" i="50"/>
  <c r="AI24" i="50"/>
  <c r="AH24" i="50"/>
  <c r="AG24" i="50"/>
  <c r="AF24" i="50"/>
  <c r="AE24" i="50"/>
  <c r="AD24" i="50"/>
  <c r="AC24" i="50"/>
  <c r="AB24" i="50"/>
  <c r="AA24" i="50"/>
  <c r="Z24" i="50"/>
  <c r="Y24" i="50"/>
  <c r="X24" i="50"/>
  <c r="W24" i="50"/>
  <c r="V24" i="50"/>
  <c r="U24" i="50"/>
  <c r="T24" i="50"/>
  <c r="S24" i="50"/>
  <c r="R24" i="50"/>
  <c r="Q24" i="50"/>
  <c r="P24" i="50"/>
  <c r="O24" i="50"/>
  <c r="N24" i="50"/>
  <c r="M24" i="50"/>
  <c r="L24" i="50"/>
  <c r="K24" i="50"/>
  <c r="J24" i="50"/>
  <c r="I24" i="50"/>
  <c r="H24" i="50"/>
  <c r="G24" i="50"/>
  <c r="F24" i="50"/>
  <c r="E24" i="50"/>
  <c r="D24" i="50"/>
  <c r="C24" i="50"/>
  <c r="AY29" i="50"/>
  <c r="AX29" i="50"/>
  <c r="AW29" i="50"/>
  <c r="AV29" i="50"/>
  <c r="AU29" i="50"/>
  <c r="AT29" i="50"/>
  <c r="AS29" i="50"/>
  <c r="AR29" i="50"/>
  <c r="AQ29" i="50"/>
  <c r="AP29" i="50"/>
  <c r="AO29" i="50"/>
  <c r="AN29" i="50"/>
  <c r="AM29" i="50"/>
  <c r="AL29" i="50"/>
  <c r="AK29" i="50"/>
  <c r="AJ29" i="50"/>
  <c r="AI29" i="50"/>
  <c r="AH29" i="50"/>
  <c r="AG29" i="50"/>
  <c r="AF29" i="50"/>
  <c r="AE29" i="50"/>
  <c r="AD29" i="50"/>
  <c r="AC29" i="50"/>
  <c r="AB29" i="50"/>
  <c r="AA29" i="50"/>
  <c r="Z29" i="50"/>
  <c r="Y29" i="50"/>
  <c r="X29" i="50"/>
  <c r="W29" i="50"/>
  <c r="V29" i="50"/>
  <c r="U29" i="50"/>
  <c r="T29" i="50"/>
  <c r="S29" i="50"/>
  <c r="R29" i="50"/>
  <c r="Q29" i="50"/>
  <c r="P29" i="50"/>
  <c r="O29" i="50"/>
  <c r="N29" i="50"/>
  <c r="M29" i="50"/>
  <c r="L29" i="50"/>
  <c r="K29" i="50"/>
  <c r="J29" i="50"/>
  <c r="I29" i="50"/>
  <c r="H29" i="50"/>
  <c r="G29" i="50"/>
  <c r="F29" i="50"/>
  <c r="E29" i="50"/>
  <c r="D29" i="50"/>
  <c r="C29" i="50"/>
  <c r="AY32" i="50"/>
  <c r="AX32" i="50"/>
  <c r="AW32" i="50"/>
  <c r="AV32" i="50"/>
  <c r="AU32" i="50"/>
  <c r="AT32" i="50"/>
  <c r="AS32" i="50"/>
  <c r="AR32" i="50"/>
  <c r="AQ32" i="50"/>
  <c r="AP32" i="50"/>
  <c r="AO32" i="50"/>
  <c r="AN32" i="50"/>
  <c r="AM32" i="50"/>
  <c r="AL32" i="50"/>
  <c r="AK32" i="50"/>
  <c r="AJ32" i="50"/>
  <c r="AI32" i="50"/>
  <c r="AH32" i="50"/>
  <c r="AG32" i="50"/>
  <c r="AF32" i="50"/>
  <c r="AE32" i="50"/>
  <c r="AD32" i="50"/>
  <c r="AC32" i="50"/>
  <c r="AB32" i="50"/>
  <c r="AA32" i="50"/>
  <c r="Z32" i="50"/>
  <c r="Y32" i="50"/>
  <c r="X32" i="50"/>
  <c r="W32" i="50"/>
  <c r="V32" i="50"/>
  <c r="U32" i="50"/>
  <c r="T32" i="50"/>
  <c r="S32" i="50"/>
  <c r="R32" i="50"/>
  <c r="Q32" i="50"/>
  <c r="P32" i="50"/>
  <c r="O32" i="50"/>
  <c r="N32" i="50"/>
  <c r="M32" i="50"/>
  <c r="L32" i="50"/>
  <c r="K32" i="50"/>
  <c r="J32" i="50"/>
  <c r="I32" i="50"/>
  <c r="H32" i="50"/>
  <c r="G32" i="50"/>
  <c r="F32" i="50"/>
  <c r="E32" i="50"/>
  <c r="D32" i="50"/>
  <c r="C32" i="50"/>
  <c r="AD48" i="42"/>
  <c r="V48" i="42"/>
  <c r="N48" i="42"/>
  <c r="AE49" i="42"/>
  <c r="AE48" i="42" s="1"/>
  <c r="AD49" i="42"/>
  <c r="AC49" i="42"/>
  <c r="AC48" i="42" s="1"/>
  <c r="AB49" i="42"/>
  <c r="AB48" i="42" s="1"/>
  <c r="AA49" i="42"/>
  <c r="AA48" i="42" s="1"/>
  <c r="Z49" i="42"/>
  <c r="Z48" i="42" s="1"/>
  <c r="Y49" i="42"/>
  <c r="Y48" i="42" s="1"/>
  <c r="X49" i="42"/>
  <c r="X48" i="42" s="1"/>
  <c r="W49" i="42"/>
  <c r="W48" i="42" s="1"/>
  <c r="V49" i="42"/>
  <c r="U49" i="42"/>
  <c r="U48" i="42" s="1"/>
  <c r="T49" i="42"/>
  <c r="T48" i="42" s="1"/>
  <c r="S49" i="42"/>
  <c r="S48" i="42" s="1"/>
  <c r="R49" i="42"/>
  <c r="R48" i="42" s="1"/>
  <c r="Q49" i="42"/>
  <c r="Q48" i="42" s="1"/>
  <c r="P49" i="42"/>
  <c r="P48" i="42" s="1"/>
  <c r="O49" i="42"/>
  <c r="O48" i="42" s="1"/>
  <c r="N49" i="42"/>
  <c r="M49" i="42"/>
  <c r="M48" i="42" s="1"/>
  <c r="L49" i="42"/>
  <c r="L48" i="42" s="1"/>
  <c r="K49" i="42"/>
  <c r="K48" i="42" s="1"/>
  <c r="J49" i="42"/>
  <c r="J48" i="42" s="1"/>
  <c r="I49" i="42"/>
  <c r="I48" i="42" s="1"/>
  <c r="H49" i="42"/>
  <c r="H48" i="42" s="1"/>
  <c r="G49" i="42"/>
  <c r="G48" i="42" s="1"/>
  <c r="AE53" i="42"/>
  <c r="AD53" i="42"/>
  <c r="AC53" i="42"/>
  <c r="AB53" i="42"/>
  <c r="AA53" i="42"/>
  <c r="Z53" i="42"/>
  <c r="Y53" i="42"/>
  <c r="X53" i="42"/>
  <c r="W53" i="42"/>
  <c r="V53" i="42"/>
  <c r="U53" i="42"/>
  <c r="T53" i="42"/>
  <c r="S53" i="42"/>
  <c r="R53" i="42"/>
  <c r="Q53" i="42"/>
  <c r="P53" i="42"/>
  <c r="O53" i="42"/>
  <c r="N53" i="42"/>
  <c r="M53" i="42"/>
  <c r="L53" i="42"/>
  <c r="K53" i="42"/>
  <c r="J53" i="42"/>
  <c r="I53" i="42"/>
  <c r="H53" i="42"/>
  <c r="G53" i="42"/>
  <c r="AJ16" i="50" l="1"/>
  <c r="U16" i="50"/>
  <c r="AS16" i="50"/>
  <c r="N16" i="50"/>
  <c r="G16" i="50"/>
  <c r="O16" i="50"/>
  <c r="W16" i="50"/>
  <c r="AE16" i="50"/>
  <c r="AM16" i="50"/>
  <c r="AU16" i="50"/>
  <c r="D16" i="50"/>
  <c r="T16" i="50"/>
  <c r="AR16" i="50"/>
  <c r="M16" i="50"/>
  <c r="AK16" i="50"/>
  <c r="V16" i="50"/>
  <c r="AL16" i="50"/>
  <c r="J16" i="50"/>
  <c r="R16" i="50"/>
  <c r="Z16" i="50"/>
  <c r="AH16" i="50"/>
  <c r="AP16" i="50"/>
  <c r="AX16" i="50"/>
  <c r="H16" i="50"/>
  <c r="P16" i="50"/>
  <c r="X16" i="50"/>
  <c r="AF16" i="50"/>
  <c r="AN16" i="50"/>
  <c r="AV16" i="50"/>
  <c r="L16" i="50"/>
  <c r="AB16" i="50"/>
  <c r="E16" i="50"/>
  <c r="AC16" i="50"/>
  <c r="F16" i="50"/>
  <c r="AD16" i="50"/>
  <c r="AT16" i="50"/>
  <c r="I16" i="50"/>
  <c r="Q16" i="50"/>
  <c r="Y16" i="50"/>
  <c r="AG16" i="50"/>
  <c r="AO16" i="50"/>
  <c r="AW16" i="50"/>
  <c r="L14" i="48"/>
  <c r="T14" i="48"/>
  <c r="AB14" i="48"/>
  <c r="M14" i="48"/>
  <c r="U14" i="48"/>
  <c r="AC14" i="48"/>
  <c r="J13" i="1"/>
  <c r="AD13" i="1" s="1"/>
  <c r="AD15" i="1"/>
  <c r="AE15" i="1" s="1"/>
  <c r="AD14" i="1"/>
  <c r="I18" i="36"/>
  <c r="I17" i="36" s="1"/>
  <c r="I9" i="36" s="1"/>
  <c r="J31" i="1"/>
  <c r="AD31" i="1" s="1"/>
  <c r="AE31" i="1" s="1"/>
  <c r="AD32" i="1"/>
  <c r="AE32" i="1" s="1"/>
  <c r="M21" i="36"/>
  <c r="L21" i="36"/>
  <c r="AE37" i="1"/>
  <c r="X13" i="1"/>
  <c r="J20" i="36" s="1"/>
  <c r="AE14" i="1"/>
  <c r="F18" i="36"/>
  <c r="F17" i="36" s="1"/>
  <c r="F9" i="36" s="1"/>
  <c r="G17" i="36"/>
  <c r="G9" i="36" s="1"/>
  <c r="E18" i="36"/>
  <c r="E17" i="36" s="1"/>
  <c r="E9" i="36" s="1"/>
  <c r="Z273" i="41"/>
  <c r="Y273" i="41"/>
  <c r="X273" i="41"/>
  <c r="V273" i="41"/>
  <c r="T273" i="41"/>
  <c r="R273" i="41"/>
  <c r="P273" i="41"/>
  <c r="N273" i="41"/>
  <c r="L273" i="41"/>
  <c r="K273" i="41"/>
  <c r="H273" i="41"/>
  <c r="Z79" i="41"/>
  <c r="Y79" i="41"/>
  <c r="T79" i="41"/>
  <c r="R79" i="41"/>
  <c r="P79" i="41"/>
  <c r="N79" i="41"/>
  <c r="L79" i="41"/>
  <c r="K79" i="41"/>
  <c r="J79" i="41"/>
  <c r="H79" i="41"/>
  <c r="G79" i="41"/>
  <c r="Z233" i="41"/>
  <c r="Y233" i="41"/>
  <c r="X233" i="41"/>
  <c r="W233" i="41"/>
  <c r="V233" i="41"/>
  <c r="U233" i="41"/>
  <c r="T233" i="41"/>
  <c r="S233" i="41"/>
  <c r="R233" i="41"/>
  <c r="Q233" i="41"/>
  <c r="P233" i="41"/>
  <c r="O233" i="41"/>
  <c r="N233" i="41"/>
  <c r="M233" i="41"/>
  <c r="L233" i="41"/>
  <c r="K233" i="41"/>
  <c r="J233" i="41"/>
  <c r="I233" i="41"/>
  <c r="H233" i="41"/>
  <c r="G233" i="41"/>
  <c r="J18" i="36" l="1"/>
  <c r="L20" i="36"/>
  <c r="M20" i="36"/>
  <c r="AE13" i="1"/>
  <c r="Z211" i="41"/>
  <c r="Y211" i="41"/>
  <c r="X211" i="41"/>
  <c r="W211" i="41"/>
  <c r="V211" i="41"/>
  <c r="U211" i="41"/>
  <c r="T211" i="41"/>
  <c r="S211" i="41"/>
  <c r="R211" i="41"/>
  <c r="Q211" i="41"/>
  <c r="P211" i="41"/>
  <c r="O211" i="41"/>
  <c r="N211" i="41"/>
  <c r="M211" i="41"/>
  <c r="L211" i="41"/>
  <c r="K211" i="41"/>
  <c r="J211" i="41"/>
  <c r="I211" i="41"/>
  <c r="H211" i="41"/>
  <c r="G211" i="41"/>
  <c r="Z207" i="41"/>
  <c r="Y207" i="41"/>
  <c r="X207" i="41"/>
  <c r="W207" i="41"/>
  <c r="V207" i="41"/>
  <c r="V206" i="41" s="1"/>
  <c r="U207" i="41"/>
  <c r="U206" i="41" s="1"/>
  <c r="T207" i="41"/>
  <c r="S207" i="41"/>
  <c r="R207" i="41"/>
  <c r="Q207" i="41"/>
  <c r="P207" i="41"/>
  <c r="O207" i="41"/>
  <c r="N207" i="41"/>
  <c r="N206" i="41" s="1"/>
  <c r="M207" i="41"/>
  <c r="M206" i="41" s="1"/>
  <c r="L207" i="41"/>
  <c r="L206" i="41" s="1"/>
  <c r="K207" i="41"/>
  <c r="J207" i="41"/>
  <c r="I207" i="41"/>
  <c r="H207" i="41"/>
  <c r="G207" i="41"/>
  <c r="Z311" i="41"/>
  <c r="Y311" i="41"/>
  <c r="X311" i="41"/>
  <c r="W311" i="41"/>
  <c r="V311" i="41"/>
  <c r="U311" i="41"/>
  <c r="T311" i="41"/>
  <c r="S311" i="41"/>
  <c r="R311" i="41"/>
  <c r="Q311" i="41"/>
  <c r="P311" i="41"/>
  <c r="O311" i="41"/>
  <c r="N311" i="41"/>
  <c r="M311" i="41"/>
  <c r="L311" i="41"/>
  <c r="K311" i="41"/>
  <c r="J311" i="41"/>
  <c r="I311" i="41"/>
  <c r="H311" i="41"/>
  <c r="G311" i="41"/>
  <c r="Z182" i="41"/>
  <c r="Y182" i="41"/>
  <c r="X182" i="41"/>
  <c r="W182" i="41"/>
  <c r="P182" i="41"/>
  <c r="N182" i="41"/>
  <c r="L182" i="41"/>
  <c r="K182" i="41"/>
  <c r="J182" i="41"/>
  <c r="H182" i="41"/>
  <c r="G182" i="41"/>
  <c r="Z38" i="41"/>
  <c r="Y38" i="41"/>
  <c r="P38" i="41"/>
  <c r="L38" i="41"/>
  <c r="K38" i="41"/>
  <c r="H38" i="41"/>
  <c r="Z325" i="41"/>
  <c r="Y325" i="41"/>
  <c r="X325" i="41"/>
  <c r="W325" i="41"/>
  <c r="T325" i="41"/>
  <c r="S325" i="41"/>
  <c r="R325" i="41"/>
  <c r="Q325" i="41"/>
  <c r="P325" i="41"/>
  <c r="O325" i="41"/>
  <c r="N325" i="41"/>
  <c r="M325" i="41"/>
  <c r="L325" i="41"/>
  <c r="K325" i="41"/>
  <c r="I325" i="41"/>
  <c r="H325" i="41"/>
  <c r="H206" i="41" l="1"/>
  <c r="P206" i="41"/>
  <c r="X206" i="41"/>
  <c r="I206" i="41"/>
  <c r="Q206" i="41"/>
  <c r="Y206" i="41"/>
  <c r="J206" i="41"/>
  <c r="R206" i="41"/>
  <c r="Z206" i="41"/>
  <c r="L18" i="36"/>
  <c r="M18" i="36"/>
  <c r="J17" i="36"/>
  <c r="T206" i="41"/>
  <c r="O206" i="41"/>
  <c r="K206" i="41"/>
  <c r="S206" i="41"/>
  <c r="W206" i="41"/>
  <c r="G206" i="41"/>
  <c r="Z178" i="41"/>
  <c r="Y178" i="41"/>
  <c r="X178" i="41"/>
  <c r="W178" i="41"/>
  <c r="V178" i="41"/>
  <c r="S178" i="41"/>
  <c r="R178" i="41"/>
  <c r="Q178" i="41"/>
  <c r="P178" i="41"/>
  <c r="N178" i="41"/>
  <c r="L178" i="41"/>
  <c r="K178" i="41"/>
  <c r="J178" i="41"/>
  <c r="H178" i="41"/>
  <c r="G178" i="41"/>
  <c r="Z72" i="41"/>
  <c r="Z71" i="41" s="1"/>
  <c r="Y72" i="41"/>
  <c r="R72" i="41"/>
  <c r="P72" i="41"/>
  <c r="N72" i="41"/>
  <c r="L72" i="41"/>
  <c r="K72" i="41"/>
  <c r="J72" i="41"/>
  <c r="G72" i="41"/>
  <c r="AE16" i="42"/>
  <c r="AD16" i="42"/>
  <c r="AC16" i="42"/>
  <c r="AB16" i="42"/>
  <c r="AA16" i="42"/>
  <c r="Z16" i="42"/>
  <c r="Y16" i="42"/>
  <c r="X16" i="42"/>
  <c r="W16" i="42"/>
  <c r="V16" i="42"/>
  <c r="U16" i="42"/>
  <c r="T16" i="42"/>
  <c r="S16" i="42"/>
  <c r="R16" i="42"/>
  <c r="Q16" i="42"/>
  <c r="P16" i="42"/>
  <c r="O16" i="42"/>
  <c r="N16" i="42"/>
  <c r="M16" i="42"/>
  <c r="L16" i="42"/>
  <c r="K16" i="42"/>
  <c r="J16" i="42"/>
  <c r="I16" i="42"/>
  <c r="H16" i="42"/>
  <c r="G16" i="42"/>
  <c r="AE41" i="42"/>
  <c r="AD41" i="42"/>
  <c r="AC41" i="42"/>
  <c r="AB41" i="42"/>
  <c r="AA41" i="42"/>
  <c r="Z41" i="42"/>
  <c r="Y41" i="42"/>
  <c r="X41" i="42"/>
  <c r="W41" i="42"/>
  <c r="V41" i="42"/>
  <c r="U41" i="42"/>
  <c r="T41" i="42"/>
  <c r="S41" i="42"/>
  <c r="R41" i="42"/>
  <c r="Q41" i="42"/>
  <c r="P41" i="42"/>
  <c r="O41" i="42"/>
  <c r="N41" i="42"/>
  <c r="M41" i="42"/>
  <c r="L41" i="42"/>
  <c r="K41" i="42"/>
  <c r="J41" i="42"/>
  <c r="I41" i="42"/>
  <c r="H41" i="42"/>
  <c r="G41" i="42"/>
  <c r="G108" i="41"/>
  <c r="U360" i="41"/>
  <c r="U358" i="41" s="1"/>
  <c r="S360" i="41"/>
  <c r="S358" i="41" s="1"/>
  <c r="Q360" i="41"/>
  <c r="Q358" i="41" s="1"/>
  <c r="O360" i="41"/>
  <c r="O358" i="41" s="1"/>
  <c r="M360" i="41"/>
  <c r="M358" i="41" s="1"/>
  <c r="I360" i="41"/>
  <c r="I358" i="41" s="1"/>
  <c r="Z309" i="41"/>
  <c r="Y309" i="41"/>
  <c r="X309" i="41"/>
  <c r="W309" i="41"/>
  <c r="V309" i="41"/>
  <c r="U310" i="41"/>
  <c r="U309" i="41" s="1"/>
  <c r="T309" i="41"/>
  <c r="S309" i="41"/>
  <c r="R309" i="41"/>
  <c r="Q309" i="41"/>
  <c r="P309" i="41"/>
  <c r="O309" i="41"/>
  <c r="N310" i="41"/>
  <c r="N309" i="41" s="1"/>
  <c r="M309" i="41"/>
  <c r="L309" i="41"/>
  <c r="K309" i="41"/>
  <c r="J309" i="41"/>
  <c r="I310" i="41"/>
  <c r="I309" i="41" s="1"/>
  <c r="H309" i="41"/>
  <c r="G309" i="41"/>
  <c r="Z292" i="41"/>
  <c r="Y292" i="41"/>
  <c r="X292" i="41"/>
  <c r="W296" i="41"/>
  <c r="W292" i="41" s="1"/>
  <c r="V293" i="41"/>
  <c r="V294" i="41"/>
  <c r="U294" i="41" s="1"/>
  <c r="V296" i="41"/>
  <c r="U296" i="41" s="1"/>
  <c r="T292" i="41"/>
  <c r="S296" i="41"/>
  <c r="S292" i="41" s="1"/>
  <c r="R292" i="41"/>
  <c r="Q296" i="41"/>
  <c r="Q292" i="41" s="1"/>
  <c r="P292" i="41"/>
  <c r="O296" i="41"/>
  <c r="O297" i="41"/>
  <c r="N292" i="41"/>
  <c r="M296" i="41"/>
  <c r="M297" i="41"/>
  <c r="L292" i="41"/>
  <c r="K292" i="41"/>
  <c r="J292" i="41"/>
  <c r="I293" i="41"/>
  <c r="I296" i="41"/>
  <c r="H297" i="41"/>
  <c r="H292" i="41" s="1"/>
  <c r="G293" i="41"/>
  <c r="G292" i="41" s="1"/>
  <c r="X223" i="41"/>
  <c r="X222" i="41" s="1"/>
  <c r="U223" i="41"/>
  <c r="U227" i="41"/>
  <c r="T227" i="41"/>
  <c r="T222" i="41" s="1"/>
  <c r="R226" i="41"/>
  <c r="R222" i="41" s="1"/>
  <c r="Q227" i="41"/>
  <c r="O223" i="41"/>
  <c r="O226" i="41"/>
  <c r="O227" i="41"/>
  <c r="M223" i="41"/>
  <c r="M227" i="41"/>
  <c r="I223" i="41"/>
  <c r="I224" i="41"/>
  <c r="I227" i="41"/>
  <c r="G223" i="41"/>
  <c r="G222" i="41" s="1"/>
  <c r="Z220" i="41"/>
  <c r="Z232" i="41"/>
  <c r="Y220" i="41"/>
  <c r="Y232" i="41"/>
  <c r="X220" i="41"/>
  <c r="X232" i="41"/>
  <c r="W220" i="41"/>
  <c r="W232" i="41"/>
  <c r="V221" i="41"/>
  <c r="V220" i="41" s="1"/>
  <c r="V232" i="41"/>
  <c r="U221" i="41"/>
  <c r="U220" i="41" s="1"/>
  <c r="U232" i="41"/>
  <c r="T220" i="41"/>
  <c r="T232" i="41"/>
  <c r="S220" i="41"/>
  <c r="S232" i="41"/>
  <c r="R220" i="41"/>
  <c r="R232" i="41"/>
  <c r="Q220" i="41"/>
  <c r="Q232" i="41"/>
  <c r="P220" i="41"/>
  <c r="P232" i="41"/>
  <c r="O220" i="41"/>
  <c r="O232" i="41"/>
  <c r="N220" i="41"/>
  <c r="N232" i="41"/>
  <c r="M220" i="41"/>
  <c r="M232" i="41"/>
  <c r="L220" i="41"/>
  <c r="L232" i="41"/>
  <c r="K220" i="41"/>
  <c r="K232" i="41"/>
  <c r="J220" i="41"/>
  <c r="J232" i="41"/>
  <c r="I220" i="41"/>
  <c r="I232" i="41"/>
  <c r="H220" i="41"/>
  <c r="H232" i="41"/>
  <c r="G220" i="41"/>
  <c r="G232" i="41"/>
  <c r="Z187" i="41"/>
  <c r="Y187" i="41"/>
  <c r="X187" i="41"/>
  <c r="W187" i="41"/>
  <c r="V187" i="41"/>
  <c r="U187" i="41"/>
  <c r="T187" i="41"/>
  <c r="S187" i="41"/>
  <c r="R187" i="41"/>
  <c r="Q187" i="41"/>
  <c r="P187" i="41"/>
  <c r="O187" i="41"/>
  <c r="N187" i="41"/>
  <c r="M187" i="41"/>
  <c r="L187" i="41"/>
  <c r="K187" i="41"/>
  <c r="J187" i="41"/>
  <c r="I187" i="41"/>
  <c r="H187" i="41"/>
  <c r="G187" i="41"/>
  <c r="Z108" i="41"/>
  <c r="Y108" i="41"/>
  <c r="X108" i="41"/>
  <c r="W110" i="41"/>
  <c r="W108" i="41" s="1"/>
  <c r="V108" i="41"/>
  <c r="U110" i="41"/>
  <c r="U108" i="41" s="1"/>
  <c r="T108" i="41"/>
  <c r="S110" i="41"/>
  <c r="S108" i="41" s="1"/>
  <c r="R110" i="41"/>
  <c r="Q110" i="41" s="1"/>
  <c r="Q108" i="41" s="1"/>
  <c r="P108" i="41"/>
  <c r="O110" i="41"/>
  <c r="O108" i="41" s="1"/>
  <c r="N108" i="41"/>
  <c r="M110" i="41"/>
  <c r="M108" i="41" s="1"/>
  <c r="L108" i="41"/>
  <c r="K108" i="41"/>
  <c r="J108" i="41"/>
  <c r="I110" i="41"/>
  <c r="I108" i="41" s="1"/>
  <c r="H108" i="41"/>
  <c r="V84" i="41"/>
  <c r="V85" i="41"/>
  <c r="U85" i="41" s="1"/>
  <c r="W86" i="41"/>
  <c r="S84" i="41"/>
  <c r="S85" i="41"/>
  <c r="Q84" i="41"/>
  <c r="Q85" i="41"/>
  <c r="Q86" i="41"/>
  <c r="O84" i="41"/>
  <c r="O85" i="41"/>
  <c r="O86" i="41"/>
  <c r="M84" i="41"/>
  <c r="M85" i="41"/>
  <c r="M86" i="41"/>
  <c r="I80" i="41"/>
  <c r="I81" i="41"/>
  <c r="I82" i="41"/>
  <c r="I83" i="41"/>
  <c r="I84" i="41"/>
  <c r="I85" i="41"/>
  <c r="I86" i="41"/>
  <c r="X39" i="41"/>
  <c r="V47" i="41"/>
  <c r="W46" i="41"/>
  <c r="V46" i="41"/>
  <c r="V48" i="41"/>
  <c r="U48" i="41" s="1"/>
  <c r="V49" i="41"/>
  <c r="U39" i="41"/>
  <c r="U44" i="41"/>
  <c r="M49" i="41"/>
  <c r="U49" i="41" s="1"/>
  <c r="U50" i="41"/>
  <c r="T49" i="41"/>
  <c r="R50" i="41"/>
  <c r="T50" i="41" s="1"/>
  <c r="S50" i="41" s="1"/>
  <c r="S39" i="41"/>
  <c r="S44" i="41"/>
  <c r="S46" i="41"/>
  <c r="S47" i="41"/>
  <c r="S48" i="41"/>
  <c r="R44" i="41"/>
  <c r="Q39" i="41"/>
  <c r="Q46" i="41"/>
  <c r="Q47" i="41"/>
  <c r="Q48" i="41"/>
  <c r="O39" i="41"/>
  <c r="O44" i="41"/>
  <c r="O46" i="41"/>
  <c r="O47" i="41"/>
  <c r="O48" i="41"/>
  <c r="O49" i="41"/>
  <c r="O50" i="41"/>
  <c r="N48" i="41"/>
  <c r="N38" i="41" s="1"/>
  <c r="M39" i="41"/>
  <c r="M44" i="41"/>
  <c r="M46" i="41"/>
  <c r="M47" i="41"/>
  <c r="J56" i="41"/>
  <c r="J38" i="41" s="1"/>
  <c r="I39" i="41"/>
  <c r="I41" i="41"/>
  <c r="I42" i="41"/>
  <c r="I44" i="41"/>
  <c r="I46" i="41"/>
  <c r="I47" i="41"/>
  <c r="I48" i="41"/>
  <c r="I49" i="41"/>
  <c r="I50" i="41"/>
  <c r="I56" i="41"/>
  <c r="G39" i="41"/>
  <c r="G38" i="41" s="1"/>
  <c r="Z324" i="41"/>
  <c r="Y324" i="41"/>
  <c r="X324" i="41"/>
  <c r="W324" i="41"/>
  <c r="V328" i="41"/>
  <c r="V325" i="41" s="1"/>
  <c r="T324" i="41"/>
  <c r="S324" i="41"/>
  <c r="R324" i="41"/>
  <c r="Q324" i="41"/>
  <c r="P324" i="41"/>
  <c r="O324" i="41"/>
  <c r="N324" i="41"/>
  <c r="M324" i="41"/>
  <c r="L324" i="41"/>
  <c r="K324" i="41"/>
  <c r="J328" i="41"/>
  <c r="I324" i="41"/>
  <c r="H324" i="41"/>
  <c r="G328" i="41"/>
  <c r="Z198" i="41"/>
  <c r="Z197" i="41" s="1"/>
  <c r="Z202" i="41"/>
  <c r="Z201" i="41" s="1"/>
  <c r="Y198" i="41"/>
  <c r="Y197" i="41" s="1"/>
  <c r="Y202" i="41"/>
  <c r="Y201" i="41" s="1"/>
  <c r="X200" i="41"/>
  <c r="X198" i="41" s="1"/>
  <c r="X197" i="41" s="1"/>
  <c r="X202" i="41"/>
  <c r="X201" i="41" s="1"/>
  <c r="W202" i="41"/>
  <c r="W201" i="41" s="1"/>
  <c r="M183" i="41"/>
  <c r="V198" i="41"/>
  <c r="V197" i="41" s="1"/>
  <c r="V202" i="41"/>
  <c r="V201" i="41" s="1"/>
  <c r="U180" i="41"/>
  <c r="U178" i="41" s="1"/>
  <c r="U199" i="41"/>
  <c r="U200" i="41"/>
  <c r="U202" i="41"/>
  <c r="U201" i="41" s="1"/>
  <c r="T180" i="41"/>
  <c r="T178" i="41" s="1"/>
  <c r="R183" i="41"/>
  <c r="T198" i="41"/>
  <c r="T197" i="41" s="1"/>
  <c r="T202" i="41"/>
  <c r="T201" i="41" s="1"/>
  <c r="S199" i="41"/>
  <c r="S200" i="41"/>
  <c r="S202" i="41"/>
  <c r="S201" i="41" s="1"/>
  <c r="R200" i="41"/>
  <c r="R202" i="41"/>
  <c r="R201" i="41" s="1"/>
  <c r="Q202" i="41"/>
  <c r="Q201" i="41" s="1"/>
  <c r="P200" i="41"/>
  <c r="P198" i="41" s="1"/>
  <c r="P197" i="41" s="1"/>
  <c r="P202" i="41"/>
  <c r="P201" i="41" s="1"/>
  <c r="O180" i="41"/>
  <c r="O178" i="41" s="1"/>
  <c r="O183" i="41"/>
  <c r="O182" i="41" s="1"/>
  <c r="O199" i="41"/>
  <c r="O198" i="41" s="1"/>
  <c r="O197" i="41" s="1"/>
  <c r="O202" i="41"/>
  <c r="O201" i="41" s="1"/>
  <c r="N198" i="41"/>
  <c r="N197" i="41" s="1"/>
  <c r="N202" i="41"/>
  <c r="N201" i="41" s="1"/>
  <c r="M180" i="41"/>
  <c r="M178" i="41" s="1"/>
  <c r="M199" i="41"/>
  <c r="M200" i="41"/>
  <c r="M202" i="41"/>
  <c r="M201" i="41" s="1"/>
  <c r="L198" i="41"/>
  <c r="L197" i="41" s="1"/>
  <c r="L202" i="41"/>
  <c r="L201" i="41" s="1"/>
  <c r="K198" i="41"/>
  <c r="K197" i="41" s="1"/>
  <c r="K202" i="41"/>
  <c r="K201" i="41" s="1"/>
  <c r="J198" i="41"/>
  <c r="J197" i="41" s="1"/>
  <c r="J202" i="41"/>
  <c r="J201" i="41" s="1"/>
  <c r="I180" i="41"/>
  <c r="I178" i="41" s="1"/>
  <c r="I183" i="41"/>
  <c r="I182" i="41" s="1"/>
  <c r="I199" i="41"/>
  <c r="I200" i="41"/>
  <c r="I202" i="41"/>
  <c r="I201" i="41" s="1"/>
  <c r="H198" i="41"/>
  <c r="H197" i="41" s="1"/>
  <c r="H202" i="41"/>
  <c r="H201" i="41" s="1"/>
  <c r="G198" i="41"/>
  <c r="G197" i="41" s="1"/>
  <c r="G202" i="41"/>
  <c r="G201" i="41" s="1"/>
  <c r="Z356" i="41"/>
  <c r="Z367" i="41"/>
  <c r="Z372" i="41"/>
  <c r="Z371" i="41" s="1"/>
  <c r="Z376" i="41"/>
  <c r="Z375" i="41" s="1"/>
  <c r="Y356" i="41"/>
  <c r="Y367" i="41"/>
  <c r="Y372" i="41"/>
  <c r="Y371" i="41" s="1"/>
  <c r="Y376" i="41"/>
  <c r="Y375" i="41" s="1"/>
  <c r="X356" i="41"/>
  <c r="X367" i="41"/>
  <c r="X373" i="41"/>
  <c r="W373" i="41" s="1"/>
  <c r="X374" i="41"/>
  <c r="W374" i="41" s="1"/>
  <c r="X376" i="41"/>
  <c r="X375" i="41" s="1"/>
  <c r="W356" i="41"/>
  <c r="W367" i="41"/>
  <c r="W377" i="41"/>
  <c r="W376" i="41" s="1"/>
  <c r="W375" i="41" s="1"/>
  <c r="V356" i="41"/>
  <c r="V367" i="41"/>
  <c r="V372" i="41"/>
  <c r="V371" i="41" s="1"/>
  <c r="V376" i="41"/>
  <c r="V375" i="41" s="1"/>
  <c r="U356" i="41"/>
  <c r="U367" i="41"/>
  <c r="U374" i="41"/>
  <c r="U372" i="41" s="1"/>
  <c r="U371" i="41" s="1"/>
  <c r="U376" i="41"/>
  <c r="U375" i="41" s="1"/>
  <c r="T356" i="41"/>
  <c r="T355" i="41" s="1"/>
  <c r="T367" i="41"/>
  <c r="T372" i="41"/>
  <c r="T371" i="41" s="1"/>
  <c r="T376" i="41"/>
  <c r="T375" i="41" s="1"/>
  <c r="S356" i="41"/>
  <c r="S367" i="41"/>
  <c r="S374" i="41"/>
  <c r="S372" i="41" s="1"/>
  <c r="S371" i="41" s="1"/>
  <c r="S376" i="41"/>
  <c r="S375" i="41" s="1"/>
  <c r="R356" i="41"/>
  <c r="R367" i="41"/>
  <c r="R372" i="41"/>
  <c r="R371" i="41" s="1"/>
  <c r="R376" i="41"/>
  <c r="R375" i="41" s="1"/>
  <c r="Q356" i="41"/>
  <c r="Q367" i="41"/>
  <c r="Q374" i="41"/>
  <c r="Q372" i="41" s="1"/>
  <c r="Q371" i="41" s="1"/>
  <c r="Q376" i="41"/>
  <c r="Q375" i="41" s="1"/>
  <c r="P356" i="41"/>
  <c r="P367" i="41"/>
  <c r="P372" i="41"/>
  <c r="P371" i="41" s="1"/>
  <c r="P376" i="41"/>
  <c r="P375" i="41" s="1"/>
  <c r="O356" i="41"/>
  <c r="O367" i="41"/>
  <c r="O372" i="41"/>
  <c r="O371" i="41" s="1"/>
  <c r="O376" i="41"/>
  <c r="O375" i="41" s="1"/>
  <c r="N356" i="41"/>
  <c r="N367" i="41"/>
  <c r="N372" i="41"/>
  <c r="N371" i="41" s="1"/>
  <c r="N376" i="41"/>
  <c r="N375" i="41" s="1"/>
  <c r="M356" i="41"/>
  <c r="M367" i="41"/>
  <c r="M373" i="41"/>
  <c r="M374" i="41"/>
  <c r="M376" i="41"/>
  <c r="M375" i="41" s="1"/>
  <c r="L356" i="41"/>
  <c r="L367" i="41"/>
  <c r="L372" i="41"/>
  <c r="L371" i="41" s="1"/>
  <c r="L376" i="41"/>
  <c r="L375" i="41" s="1"/>
  <c r="K356" i="41"/>
  <c r="K367" i="41"/>
  <c r="K372" i="41"/>
  <c r="K371" i="41" s="1"/>
  <c r="K376" i="41"/>
  <c r="K375" i="41" s="1"/>
  <c r="J356" i="41"/>
  <c r="J367" i="41"/>
  <c r="J372" i="41"/>
  <c r="J371" i="41" s="1"/>
  <c r="J376" i="41"/>
  <c r="J375" i="41" s="1"/>
  <c r="I356" i="41"/>
  <c r="I367" i="41"/>
  <c r="I373" i="41"/>
  <c r="I374" i="41"/>
  <c r="I376" i="41"/>
  <c r="I375" i="41" s="1"/>
  <c r="H356" i="41"/>
  <c r="H367" i="41"/>
  <c r="H372" i="41"/>
  <c r="H371" i="41" s="1"/>
  <c r="H376" i="41"/>
  <c r="H375" i="41" s="1"/>
  <c r="G356" i="41"/>
  <c r="G367" i="41"/>
  <c r="G372" i="41"/>
  <c r="G371" i="41" s="1"/>
  <c r="G376" i="41"/>
  <c r="G375" i="41" s="1"/>
  <c r="W149" i="41"/>
  <c r="W151" i="41"/>
  <c r="W152" i="41"/>
  <c r="W153" i="41"/>
  <c r="W154" i="41"/>
  <c r="W155" i="41"/>
  <c r="I149" i="41"/>
  <c r="I147" i="41" s="1"/>
  <c r="H151" i="41"/>
  <c r="H152" i="41"/>
  <c r="H153" i="41"/>
  <c r="H154" i="41"/>
  <c r="H155" i="41"/>
  <c r="W119" i="41"/>
  <c r="W114" i="41" s="1"/>
  <c r="W121" i="41"/>
  <c r="W122" i="41"/>
  <c r="S122" i="41"/>
  <c r="S114" i="41" s="1"/>
  <c r="O121" i="41"/>
  <c r="O114" i="41" s="1"/>
  <c r="I120" i="41"/>
  <c r="I121" i="41"/>
  <c r="I122" i="41"/>
  <c r="X73" i="41"/>
  <c r="W73" i="41" s="1"/>
  <c r="X75" i="41"/>
  <c r="W75" i="41" s="1"/>
  <c r="X76" i="41"/>
  <c r="W77" i="41"/>
  <c r="T77" i="41"/>
  <c r="T72" i="41" s="1"/>
  <c r="U73" i="41"/>
  <c r="U75" i="41"/>
  <c r="U76" i="41"/>
  <c r="S73" i="41"/>
  <c r="S75" i="41"/>
  <c r="S76" i="41"/>
  <c r="Q73" i="41"/>
  <c r="Q75" i="41"/>
  <c r="Q76" i="41"/>
  <c r="Q77" i="41"/>
  <c r="O73" i="41"/>
  <c r="O72" i="41" s="1"/>
  <c r="M73" i="41"/>
  <c r="M75" i="41"/>
  <c r="M76" i="41"/>
  <c r="M77" i="41"/>
  <c r="I73" i="41"/>
  <c r="I75" i="41"/>
  <c r="I76" i="41"/>
  <c r="H73" i="41"/>
  <c r="H72" i="41" s="1"/>
  <c r="Z350" i="41"/>
  <c r="Y350" i="41"/>
  <c r="X350" i="41"/>
  <c r="W353" i="41"/>
  <c r="W350" i="41" s="1"/>
  <c r="V350" i="41"/>
  <c r="U350" i="41"/>
  <c r="T350" i="41"/>
  <c r="S350" i="41"/>
  <c r="R350" i="41"/>
  <c r="Q350" i="41"/>
  <c r="P350" i="41"/>
  <c r="O350" i="41"/>
  <c r="N350" i="41"/>
  <c r="M350" i="41"/>
  <c r="L350" i="41"/>
  <c r="K350" i="41"/>
  <c r="J350" i="41"/>
  <c r="I350" i="41"/>
  <c r="H350" i="41"/>
  <c r="G350" i="41"/>
  <c r="Z258" i="41"/>
  <c r="Z262" i="41"/>
  <c r="Z270" i="41"/>
  <c r="Z269" i="41" s="1"/>
  <c r="Z272" i="41"/>
  <c r="Z279" i="41"/>
  <c r="Z283" i="41"/>
  <c r="Z287" i="41"/>
  <c r="Z301" i="41"/>
  <c r="Z305" i="41"/>
  <c r="Z315" i="41"/>
  <c r="Z314" i="41" s="1"/>
  <c r="Z321" i="41"/>
  <c r="Z331" i="41"/>
  <c r="Z333" i="41"/>
  <c r="Z338" i="41"/>
  <c r="Z337" i="41" s="1"/>
  <c r="Z341" i="41"/>
  <c r="Z340" i="41" s="1"/>
  <c r="Z346" i="41"/>
  <c r="Z345" i="41" s="1"/>
  <c r="Z344" i="41" s="1"/>
  <c r="Z343" i="41" s="1"/>
  <c r="Z34" i="41"/>
  <c r="Z143" i="41"/>
  <c r="Z23" i="41"/>
  <c r="Z17" i="41"/>
  <c r="Z16" i="41" s="1"/>
  <c r="Z20" i="41"/>
  <c r="Z19" i="41" s="1"/>
  <c r="Z174" i="41"/>
  <c r="Z240" i="41"/>
  <c r="Z239" i="41" s="1"/>
  <c r="Z243" i="41"/>
  <c r="Z245" i="41"/>
  <c r="Z250" i="41"/>
  <c r="Z254" i="41"/>
  <c r="Z381" i="41"/>
  <c r="Z380" i="41" s="1"/>
  <c r="Z384" i="41"/>
  <c r="Z383" i="41" s="1"/>
  <c r="Y258" i="41"/>
  <c r="Y262" i="41"/>
  <c r="Y270" i="41"/>
  <c r="Y269" i="41" s="1"/>
  <c r="Y272" i="41"/>
  <c r="Y279" i="41"/>
  <c r="Y283" i="41"/>
  <c r="Y287" i="41"/>
  <c r="Y301" i="41"/>
  <c r="Y305" i="41"/>
  <c r="Y315" i="41"/>
  <c r="Y314" i="41" s="1"/>
  <c r="Y321" i="41"/>
  <c r="Y331" i="41"/>
  <c r="Y333" i="41"/>
  <c r="Y338" i="41"/>
  <c r="Y337" i="41" s="1"/>
  <c r="Y341" i="41"/>
  <c r="Y340" i="41" s="1"/>
  <c r="Y346" i="41"/>
  <c r="Y345" i="41" s="1"/>
  <c r="Y344" i="41" s="1"/>
  <c r="Y343" i="41" s="1"/>
  <c r="Y34" i="41"/>
  <c r="Y143" i="41"/>
  <c r="Y23" i="41"/>
  <c r="Y17" i="41"/>
  <c r="Y16" i="41" s="1"/>
  <c r="Y20" i="41"/>
  <c r="Y19" i="41" s="1"/>
  <c r="Y174" i="41"/>
  <c r="Y240" i="41"/>
  <c r="Y239" i="41" s="1"/>
  <c r="Y243" i="41"/>
  <c r="Y245" i="41"/>
  <c r="Y250" i="41"/>
  <c r="Y254" i="41"/>
  <c r="Y381" i="41"/>
  <c r="Y380" i="41" s="1"/>
  <c r="Y384" i="41"/>
  <c r="Y383" i="41" s="1"/>
  <c r="X258" i="41"/>
  <c r="X262" i="41"/>
  <c r="X270" i="41"/>
  <c r="X269" i="41" s="1"/>
  <c r="X272" i="41"/>
  <c r="X279" i="41"/>
  <c r="X283" i="41"/>
  <c r="X290" i="41"/>
  <c r="V304" i="41"/>
  <c r="V307" i="41"/>
  <c r="X307" i="41" s="1"/>
  <c r="X305" i="41" s="1"/>
  <c r="X315" i="41"/>
  <c r="X314" i="41" s="1"/>
  <c r="X321" i="41"/>
  <c r="X331" i="41"/>
  <c r="X333" i="41"/>
  <c r="X339" i="41"/>
  <c r="X338" i="41" s="1"/>
  <c r="X337" i="41" s="1"/>
  <c r="X341" i="41"/>
  <c r="X340" i="41" s="1"/>
  <c r="X346" i="41"/>
  <c r="X345" i="41" s="1"/>
  <c r="X344" i="41" s="1"/>
  <c r="X343" i="41" s="1"/>
  <c r="X35" i="41"/>
  <c r="X143" i="41"/>
  <c r="X23" i="41"/>
  <c r="X17" i="41"/>
  <c r="X16" i="41" s="1"/>
  <c r="X20" i="41"/>
  <c r="X19" i="41" s="1"/>
  <c r="X174" i="41"/>
  <c r="X240" i="41"/>
  <c r="X239" i="41" s="1"/>
  <c r="X243" i="41"/>
  <c r="X246" i="41"/>
  <c r="X250" i="41"/>
  <c r="X254" i="41"/>
  <c r="X381" i="41"/>
  <c r="X380" i="41" s="1"/>
  <c r="X384" i="41"/>
  <c r="X383" i="41" s="1"/>
  <c r="W259" i="41"/>
  <c r="W258" i="41" s="1"/>
  <c r="W264" i="41"/>
  <c r="W262" i="41" s="1"/>
  <c r="W270" i="41"/>
  <c r="W269" i="41" s="1"/>
  <c r="W274" i="41"/>
  <c r="W275" i="41"/>
  <c r="W279" i="41"/>
  <c r="W283" i="41"/>
  <c r="W303" i="41"/>
  <c r="W316" i="41"/>
  <c r="W317" i="41"/>
  <c r="W318" i="41"/>
  <c r="W319" i="41"/>
  <c r="W321" i="41"/>
  <c r="W332" i="41"/>
  <c r="W331" i="41" s="1"/>
  <c r="W333" i="41"/>
  <c r="W338" i="41"/>
  <c r="W337" i="41" s="1"/>
  <c r="W341" i="41"/>
  <c r="W340" i="41" s="1"/>
  <c r="W346" i="41"/>
  <c r="W345" i="41" s="1"/>
  <c r="W344" i="41" s="1"/>
  <c r="W343" i="41" s="1"/>
  <c r="W143" i="41"/>
  <c r="W24" i="41"/>
  <c r="W25" i="41"/>
  <c r="W26" i="41"/>
  <c r="W17" i="41"/>
  <c r="W16" i="41" s="1"/>
  <c r="W20" i="41"/>
  <c r="W19" i="41" s="1"/>
  <c r="W175" i="41"/>
  <c r="W174" i="41" s="1"/>
  <c r="W240" i="41"/>
  <c r="W239" i="41" s="1"/>
  <c r="W243" i="41"/>
  <c r="W250" i="41"/>
  <c r="W254" i="41"/>
  <c r="W381" i="41"/>
  <c r="W380" i="41" s="1"/>
  <c r="W384" i="41"/>
  <c r="W383" i="41" s="1"/>
  <c r="V258" i="41"/>
  <c r="V262" i="41"/>
  <c r="V270" i="41"/>
  <c r="V269" i="41" s="1"/>
  <c r="V272" i="41"/>
  <c r="V279" i="41"/>
  <c r="V283" i="41"/>
  <c r="V289" i="41"/>
  <c r="V290" i="41"/>
  <c r="U290" i="41" s="1"/>
  <c r="V315" i="41"/>
  <c r="V314" i="41" s="1"/>
  <c r="V321" i="41"/>
  <c r="V331" i="41"/>
  <c r="V333" i="41"/>
  <c r="V338" i="41"/>
  <c r="V337" i="41" s="1"/>
  <c r="V341" i="41"/>
  <c r="V340" i="41" s="1"/>
  <c r="V346" i="41"/>
  <c r="V345" i="41" s="1"/>
  <c r="V344" i="41" s="1"/>
  <c r="V343" i="41" s="1"/>
  <c r="V35" i="41"/>
  <c r="V143" i="41"/>
  <c r="V23" i="41"/>
  <c r="V17" i="41"/>
  <c r="V16" i="41" s="1"/>
  <c r="V20" i="41"/>
  <c r="V19" i="41" s="1"/>
  <c r="V174" i="41"/>
  <c r="V240" i="41"/>
  <c r="V239" i="41" s="1"/>
  <c r="V243" i="41"/>
  <c r="V245" i="41"/>
  <c r="V250" i="41"/>
  <c r="V254" i="41"/>
  <c r="V381" i="41"/>
  <c r="V380" i="41" s="1"/>
  <c r="V384" i="41"/>
  <c r="V383" i="41" s="1"/>
  <c r="U258" i="41"/>
  <c r="U263" i="41"/>
  <c r="U264" i="41"/>
  <c r="U266" i="41"/>
  <c r="U265" i="41" s="1"/>
  <c r="U270" i="41"/>
  <c r="U269" i="41" s="1"/>
  <c r="U274" i="41"/>
  <c r="U275" i="41"/>
  <c r="U279" i="41"/>
  <c r="U283" i="41"/>
  <c r="U302" i="41"/>
  <c r="U303" i="41"/>
  <c r="U316" i="41"/>
  <c r="U317" i="41"/>
  <c r="U318" i="41"/>
  <c r="U319" i="41"/>
  <c r="U321" i="41"/>
  <c r="U331" i="41"/>
  <c r="U333" i="41"/>
  <c r="U338" i="41"/>
  <c r="U337" i="41" s="1"/>
  <c r="U341" i="41"/>
  <c r="U340" i="41" s="1"/>
  <c r="U346" i="41"/>
  <c r="U345" i="41" s="1"/>
  <c r="U344" i="41" s="1"/>
  <c r="U343" i="41" s="1"/>
  <c r="U143" i="41"/>
  <c r="U24" i="41"/>
  <c r="U23" i="41" s="1"/>
  <c r="U17" i="41"/>
  <c r="U16" i="41" s="1"/>
  <c r="U20" i="41"/>
  <c r="U19" i="41" s="1"/>
  <c r="U175" i="41"/>
  <c r="U174" i="41" s="1"/>
  <c r="U240" i="41"/>
  <c r="U239" i="41" s="1"/>
  <c r="U243" i="41"/>
  <c r="U246" i="41"/>
  <c r="U245" i="41" s="1"/>
  <c r="U250" i="41"/>
  <c r="U254" i="41"/>
  <c r="U382" i="41"/>
  <c r="U381" i="41" s="1"/>
  <c r="U380" i="41" s="1"/>
  <c r="U385" i="41"/>
  <c r="U384" i="41" s="1"/>
  <c r="U383" i="41" s="1"/>
  <c r="T258" i="41"/>
  <c r="T262" i="41"/>
  <c r="T270" i="41"/>
  <c r="T269" i="41" s="1"/>
  <c r="T272" i="41"/>
  <c r="T279" i="41"/>
  <c r="T283" i="41"/>
  <c r="T287" i="41"/>
  <c r="T301" i="41"/>
  <c r="T305" i="41"/>
  <c r="T315" i="41"/>
  <c r="T314" i="41" s="1"/>
  <c r="T321" i="41"/>
  <c r="T331" i="41"/>
  <c r="T333" i="41"/>
  <c r="T338" i="41"/>
  <c r="T337" i="41" s="1"/>
  <c r="T341" i="41"/>
  <c r="T340" i="41" s="1"/>
  <c r="T346" i="41"/>
  <c r="T345" i="41" s="1"/>
  <c r="T344" i="41" s="1"/>
  <c r="T343" i="41" s="1"/>
  <c r="T34" i="41"/>
  <c r="T143" i="41"/>
  <c r="T23" i="41"/>
  <c r="T17" i="41"/>
  <c r="T16" i="41" s="1"/>
  <c r="T20" i="41"/>
  <c r="T19" i="41" s="1"/>
  <c r="T174" i="41"/>
  <c r="T240" i="41"/>
  <c r="T239" i="41" s="1"/>
  <c r="T243" i="41"/>
  <c r="T245" i="41"/>
  <c r="T250" i="41"/>
  <c r="T254" i="41"/>
  <c r="T382" i="41"/>
  <c r="S382" i="41" s="1"/>
  <c r="S381" i="41" s="1"/>
  <c r="S380" i="41" s="1"/>
  <c r="T385" i="41"/>
  <c r="T384" i="41" s="1"/>
  <c r="T383" i="41" s="1"/>
  <c r="S258" i="41"/>
  <c r="S264" i="41"/>
  <c r="S262" i="41" s="1"/>
  <c r="S270" i="41"/>
  <c r="S269" i="41" s="1"/>
  <c r="S274" i="41"/>
  <c r="S275" i="41"/>
  <c r="S279" i="41"/>
  <c r="S283" i="41"/>
  <c r="S290" i="41"/>
  <c r="S287" i="41" s="1"/>
  <c r="S303" i="41"/>
  <c r="S304" i="41"/>
  <c r="S307" i="41"/>
  <c r="S305" i="41" s="1"/>
  <c r="S316" i="41"/>
  <c r="S317" i="41"/>
  <c r="S318" i="41"/>
  <c r="S319" i="41"/>
  <c r="S321" i="41"/>
  <c r="S331" i="41"/>
  <c r="S333" i="41"/>
  <c r="S338" i="41"/>
  <c r="S337" i="41" s="1"/>
  <c r="S341" i="41"/>
  <c r="S340" i="41" s="1"/>
  <c r="S346" i="41"/>
  <c r="S345" i="41" s="1"/>
  <c r="S344" i="41" s="1"/>
  <c r="S343" i="41" s="1"/>
  <c r="S35" i="41"/>
  <c r="S34" i="41" s="1"/>
  <c r="S143" i="41"/>
  <c r="S24" i="41"/>
  <c r="S23" i="41" s="1"/>
  <c r="S17" i="41"/>
  <c r="S16" i="41" s="1"/>
  <c r="S20" i="41"/>
  <c r="S19" i="41" s="1"/>
  <c r="S175" i="41"/>
  <c r="S174" i="41" s="1"/>
  <c r="S240" i="41"/>
  <c r="S239" i="41" s="1"/>
  <c r="S243" i="41"/>
  <c r="S246" i="41"/>
  <c r="S245" i="41" s="1"/>
  <c r="S250" i="41"/>
  <c r="S254" i="41"/>
  <c r="R258" i="41"/>
  <c r="R262" i="41"/>
  <c r="R270" i="41"/>
  <c r="R269" i="41" s="1"/>
  <c r="R272" i="41"/>
  <c r="R279" i="41"/>
  <c r="R283" i="41"/>
  <c r="R287" i="41"/>
  <c r="R301" i="41"/>
  <c r="R305" i="41"/>
  <c r="R315" i="41"/>
  <c r="R314" i="41" s="1"/>
  <c r="R321" i="41"/>
  <c r="R331" i="41"/>
  <c r="R333" i="41"/>
  <c r="R338" i="41"/>
  <c r="R337" i="41" s="1"/>
  <c r="R341" i="41"/>
  <c r="R340" i="41" s="1"/>
  <c r="R346" i="41"/>
  <c r="R345" i="41" s="1"/>
  <c r="R344" i="41" s="1"/>
  <c r="R343" i="41" s="1"/>
  <c r="R34" i="41"/>
  <c r="R143" i="41"/>
  <c r="R23" i="41"/>
  <c r="R17" i="41"/>
  <c r="R16" i="41" s="1"/>
  <c r="R20" i="41"/>
  <c r="R19" i="41" s="1"/>
  <c r="R174" i="41"/>
  <c r="R240" i="41"/>
  <c r="R239" i="41" s="1"/>
  <c r="R243" i="41"/>
  <c r="R245" i="41"/>
  <c r="R250" i="41"/>
  <c r="R254" i="41"/>
  <c r="R382" i="41"/>
  <c r="R381" i="41" s="1"/>
  <c r="R380" i="41" s="1"/>
  <c r="R384" i="41"/>
  <c r="R383" i="41" s="1"/>
  <c r="Q258" i="41"/>
  <c r="Q264" i="41"/>
  <c r="Q262" i="41" s="1"/>
  <c r="Q270" i="41"/>
  <c r="Q269" i="41" s="1"/>
  <c r="Q274" i="41"/>
  <c r="Q273" i="41" s="1"/>
  <c r="Q275" i="41"/>
  <c r="Q279" i="41"/>
  <c r="Q283" i="41"/>
  <c r="Q290" i="41"/>
  <c r="Q287" i="41" s="1"/>
  <c r="Q303" i="41"/>
  <c r="Q304" i="41"/>
  <c r="Q307" i="41"/>
  <c r="Q305" i="41" s="1"/>
  <c r="Q316" i="41"/>
  <c r="Q317" i="41"/>
  <c r="Q318" i="41"/>
  <c r="Q319" i="41"/>
  <c r="Q321" i="41"/>
  <c r="Q331" i="41"/>
  <c r="Q333" i="41"/>
  <c r="Q338" i="41"/>
  <c r="Q337" i="41" s="1"/>
  <c r="Q341" i="41"/>
  <c r="Q340" i="41" s="1"/>
  <c r="Q346" i="41"/>
  <c r="Q345" i="41" s="1"/>
  <c r="Q344" i="41" s="1"/>
  <c r="Q343" i="41" s="1"/>
  <c r="Q35" i="41"/>
  <c r="Q34" i="41" s="1"/>
  <c r="Q143" i="41"/>
  <c r="Q24" i="41"/>
  <c r="Q23" i="41" s="1"/>
  <c r="Q17" i="41"/>
  <c r="Q16" i="41" s="1"/>
  <c r="Q20" i="41"/>
  <c r="Q19" i="41" s="1"/>
  <c r="Q175" i="41"/>
  <c r="Q174" i="41" s="1"/>
  <c r="Q240" i="41"/>
  <c r="Q239" i="41" s="1"/>
  <c r="Q243" i="41"/>
  <c r="Q246" i="41"/>
  <c r="Q245" i="41" s="1"/>
  <c r="Q250" i="41"/>
  <c r="Q254" i="41"/>
  <c r="Q384" i="41"/>
  <c r="Q383" i="41" s="1"/>
  <c r="P258" i="41"/>
  <c r="P262" i="41"/>
  <c r="P270" i="41"/>
  <c r="P269" i="41" s="1"/>
  <c r="P272" i="41"/>
  <c r="P279" i="41"/>
  <c r="P283" i="41"/>
  <c r="P287" i="41"/>
  <c r="P301" i="41"/>
  <c r="P305" i="41"/>
  <c r="P315" i="41"/>
  <c r="P314" i="41" s="1"/>
  <c r="P321" i="41"/>
  <c r="P331" i="41"/>
  <c r="P333" i="41"/>
  <c r="P338" i="41"/>
  <c r="P337" i="41" s="1"/>
  <c r="P341" i="41"/>
  <c r="P340" i="41" s="1"/>
  <c r="P346" i="41"/>
  <c r="P345" i="41" s="1"/>
  <c r="P344" i="41" s="1"/>
  <c r="P343" i="41" s="1"/>
  <c r="P34" i="41"/>
  <c r="P143" i="41"/>
  <c r="P23" i="41"/>
  <c r="P17" i="41"/>
  <c r="P16" i="41" s="1"/>
  <c r="P20" i="41"/>
  <c r="P19" i="41" s="1"/>
  <c r="P174" i="41"/>
  <c r="P240" i="41"/>
  <c r="P239" i="41" s="1"/>
  <c r="P243" i="41"/>
  <c r="P245" i="41"/>
  <c r="P250" i="41"/>
  <c r="P254" i="41"/>
  <c r="P381" i="41"/>
  <c r="P380" i="41" s="1"/>
  <c r="P384" i="41"/>
  <c r="P383" i="41" s="1"/>
  <c r="O258" i="41"/>
  <c r="O264" i="41"/>
  <c r="O262" i="41" s="1"/>
  <c r="O270" i="41"/>
  <c r="O269" i="41" s="1"/>
  <c r="O274" i="41"/>
  <c r="O275" i="41"/>
  <c r="O279" i="41"/>
  <c r="O283" i="41"/>
  <c r="O290" i="41"/>
  <c r="O287" i="41" s="1"/>
  <c r="O303" i="41"/>
  <c r="O304" i="41"/>
  <c r="O307" i="41"/>
  <c r="O305" i="41" s="1"/>
  <c r="O316" i="41"/>
  <c r="O317" i="41"/>
  <c r="O318" i="41"/>
  <c r="O319" i="41"/>
  <c r="O321" i="41"/>
  <c r="O331" i="41"/>
  <c r="O333" i="41"/>
  <c r="O338" i="41"/>
  <c r="O337" i="41" s="1"/>
  <c r="O341" i="41"/>
  <c r="O340" i="41" s="1"/>
  <c r="O346" i="41"/>
  <c r="O345" i="41" s="1"/>
  <c r="O344" i="41" s="1"/>
  <c r="O343" i="41" s="1"/>
  <c r="O35" i="41"/>
  <c r="O34" i="41" s="1"/>
  <c r="O143" i="41"/>
  <c r="O24" i="41"/>
  <c r="O23" i="41" s="1"/>
  <c r="O17" i="41"/>
  <c r="O16" i="41" s="1"/>
  <c r="O20" i="41"/>
  <c r="O19" i="41" s="1"/>
  <c r="O175" i="41"/>
  <c r="O174" i="41" s="1"/>
  <c r="O240" i="41"/>
  <c r="O239" i="41" s="1"/>
  <c r="O243" i="41"/>
  <c r="O245" i="41"/>
  <c r="O250" i="41"/>
  <c r="O254" i="41"/>
  <c r="O382" i="41"/>
  <c r="O381" i="41" s="1"/>
  <c r="O380" i="41" s="1"/>
  <c r="O384" i="41"/>
  <c r="O383" i="41" s="1"/>
  <c r="N258" i="41"/>
  <c r="N262" i="41"/>
  <c r="N270" i="41"/>
  <c r="N269" i="41" s="1"/>
  <c r="N272" i="41"/>
  <c r="N279" i="41"/>
  <c r="N283" i="41"/>
  <c r="N288" i="41"/>
  <c r="N287" i="41" s="1"/>
  <c r="N301" i="41"/>
  <c r="N305" i="41"/>
  <c r="N315" i="41"/>
  <c r="N314" i="41" s="1"/>
  <c r="N321" i="41"/>
  <c r="N331" i="41"/>
  <c r="N333" i="41"/>
  <c r="N338" i="41"/>
  <c r="N337" i="41" s="1"/>
  <c r="N341" i="41"/>
  <c r="N340" i="41" s="1"/>
  <c r="N346" i="41"/>
  <c r="N345" i="41" s="1"/>
  <c r="N344" i="41" s="1"/>
  <c r="N343" i="41" s="1"/>
  <c r="N34" i="41"/>
  <c r="N143" i="41"/>
  <c r="N23" i="41"/>
  <c r="N17" i="41"/>
  <c r="N16" i="41" s="1"/>
  <c r="N20" i="41"/>
  <c r="N19" i="41" s="1"/>
  <c r="N174" i="41"/>
  <c r="N240" i="41"/>
  <c r="N239" i="41" s="1"/>
  <c r="N243" i="41"/>
  <c r="N245" i="41"/>
  <c r="N250" i="41"/>
  <c r="N254" i="41"/>
  <c r="N381" i="41"/>
  <c r="N380" i="41" s="1"/>
  <c r="N384" i="41"/>
  <c r="N383" i="41" s="1"/>
  <c r="M258" i="41"/>
  <c r="M264" i="41"/>
  <c r="M262" i="41" s="1"/>
  <c r="M270" i="41"/>
  <c r="M269" i="41" s="1"/>
  <c r="M274" i="41"/>
  <c r="M275" i="41"/>
  <c r="M279" i="41"/>
  <c r="M283" i="41"/>
  <c r="M290" i="41"/>
  <c r="M287" i="41" s="1"/>
  <c r="M303" i="41"/>
  <c r="M304" i="41"/>
  <c r="M307" i="41"/>
  <c r="M305" i="41" s="1"/>
  <c r="M316" i="41"/>
  <c r="M317" i="41"/>
  <c r="M318" i="41"/>
  <c r="M319" i="41"/>
  <c r="M321" i="41"/>
  <c r="M331" i="41"/>
  <c r="M333" i="41"/>
  <c r="M338" i="41"/>
  <c r="M337" i="41" s="1"/>
  <c r="M341" i="41"/>
  <c r="M340" i="41" s="1"/>
  <c r="M346" i="41"/>
  <c r="M345" i="41" s="1"/>
  <c r="M344" i="41" s="1"/>
  <c r="M343" i="41" s="1"/>
  <c r="M35" i="41"/>
  <c r="M34" i="41" s="1"/>
  <c r="M143" i="41"/>
  <c r="M24" i="41"/>
  <c r="M23" i="41" s="1"/>
  <c r="M17" i="41"/>
  <c r="M16" i="41" s="1"/>
  <c r="M20" i="41"/>
  <c r="M19" i="41" s="1"/>
  <c r="M175" i="41"/>
  <c r="M174" i="41" s="1"/>
  <c r="M240" i="41"/>
  <c r="M239" i="41" s="1"/>
  <c r="M243" i="41"/>
  <c r="M246" i="41"/>
  <c r="M245" i="41" s="1"/>
  <c r="M250" i="41"/>
  <c r="M254" i="41"/>
  <c r="M382" i="41"/>
  <c r="M381" i="41" s="1"/>
  <c r="M380" i="41" s="1"/>
  <c r="M384" i="41"/>
  <c r="M383" i="41" s="1"/>
  <c r="L258" i="41"/>
  <c r="L262" i="41"/>
  <c r="L270" i="41"/>
  <c r="L269" i="41" s="1"/>
  <c r="L272" i="41"/>
  <c r="L279" i="41"/>
  <c r="L283" i="41"/>
  <c r="L287" i="41"/>
  <c r="L301" i="41"/>
  <c r="L305" i="41"/>
  <c r="L315" i="41"/>
  <c r="L314" i="41" s="1"/>
  <c r="L321" i="41"/>
  <c r="L331" i="41"/>
  <c r="L333" i="41"/>
  <c r="L338" i="41"/>
  <c r="L337" i="41" s="1"/>
  <c r="L341" i="41"/>
  <c r="L340" i="41" s="1"/>
  <c r="L346" i="41"/>
  <c r="L345" i="41" s="1"/>
  <c r="L344" i="41" s="1"/>
  <c r="L343" i="41" s="1"/>
  <c r="L34" i="41"/>
  <c r="L143" i="41"/>
  <c r="L23" i="41"/>
  <c r="L17" i="41"/>
  <c r="L16" i="41" s="1"/>
  <c r="L20" i="41"/>
  <c r="L19" i="41" s="1"/>
  <c r="L174" i="41"/>
  <c r="L240" i="41"/>
  <c r="L239" i="41" s="1"/>
  <c r="L243" i="41"/>
  <c r="L245" i="41"/>
  <c r="L250" i="41"/>
  <c r="L254" i="41"/>
  <c r="L381" i="41"/>
  <c r="L380" i="41" s="1"/>
  <c r="L384" i="41"/>
  <c r="L383" i="41" s="1"/>
  <c r="K258" i="41"/>
  <c r="K262" i="41"/>
  <c r="K270" i="41"/>
  <c r="K269" i="41" s="1"/>
  <c r="K272" i="41"/>
  <c r="K279" i="41"/>
  <c r="K283" i="41"/>
  <c r="K287" i="41"/>
  <c r="K301" i="41"/>
  <c r="K305" i="41"/>
  <c r="K315" i="41"/>
  <c r="K314" i="41" s="1"/>
  <c r="K321" i="41"/>
  <c r="K331" i="41"/>
  <c r="K333" i="41"/>
  <c r="K338" i="41"/>
  <c r="K337" i="41" s="1"/>
  <c r="K341" i="41"/>
  <c r="K340" i="41" s="1"/>
  <c r="K346" i="41"/>
  <c r="K345" i="41" s="1"/>
  <c r="K344" i="41" s="1"/>
  <c r="K343" i="41" s="1"/>
  <c r="K34" i="41"/>
  <c r="K143" i="41"/>
  <c r="K23" i="41"/>
  <c r="K17" i="41"/>
  <c r="K16" i="41" s="1"/>
  <c r="K20" i="41"/>
  <c r="K19" i="41" s="1"/>
  <c r="K174" i="41"/>
  <c r="K240" i="41"/>
  <c r="K239" i="41" s="1"/>
  <c r="K243" i="41"/>
  <c r="K245" i="41"/>
  <c r="K250" i="41"/>
  <c r="K254" i="41"/>
  <c r="K381" i="41"/>
  <c r="K380" i="41" s="1"/>
  <c r="K384" i="41"/>
  <c r="K383" i="41" s="1"/>
  <c r="J258" i="41"/>
  <c r="J262" i="41"/>
  <c r="J270" i="41"/>
  <c r="J269" i="41" s="1"/>
  <c r="J274" i="41"/>
  <c r="J275" i="41"/>
  <c r="I275" i="41" s="1"/>
  <c r="J279" i="41"/>
  <c r="J283" i="41"/>
  <c r="J287" i="41"/>
  <c r="J301" i="41"/>
  <c r="J305" i="41"/>
  <c r="J316" i="41"/>
  <c r="I316" i="41" s="1"/>
  <c r="J317" i="41"/>
  <c r="I317" i="41" s="1"/>
  <c r="J318" i="41"/>
  <c r="I318" i="41" s="1"/>
  <c r="J319" i="41"/>
  <c r="J321" i="41"/>
  <c r="J331" i="41"/>
  <c r="J333" i="41"/>
  <c r="J338" i="41"/>
  <c r="J337" i="41" s="1"/>
  <c r="J341" i="41"/>
  <c r="J340" i="41" s="1"/>
  <c r="J346" i="41"/>
  <c r="J345" i="41" s="1"/>
  <c r="J344" i="41" s="1"/>
  <c r="J343" i="41" s="1"/>
  <c r="J34" i="41"/>
  <c r="J143" i="41"/>
  <c r="J24" i="41"/>
  <c r="J17" i="41"/>
  <c r="J16" i="41" s="1"/>
  <c r="J20" i="41"/>
  <c r="J19" i="41" s="1"/>
  <c r="J175" i="41"/>
  <c r="I175" i="41" s="1"/>
  <c r="I174" i="41" s="1"/>
  <c r="J240" i="41"/>
  <c r="J239" i="41" s="1"/>
  <c r="J243" i="41"/>
  <c r="J245" i="41"/>
  <c r="J250" i="41"/>
  <c r="J254" i="41"/>
  <c r="J381" i="41"/>
  <c r="J380" i="41" s="1"/>
  <c r="J384" i="41"/>
  <c r="J383" i="41" s="1"/>
  <c r="I259" i="41"/>
  <c r="I258" i="41" s="1"/>
  <c r="I263" i="41"/>
  <c r="I264" i="41"/>
  <c r="I266" i="41"/>
  <c r="I265" i="41" s="1"/>
  <c r="I270" i="41"/>
  <c r="I269" i="41" s="1"/>
  <c r="I279" i="41"/>
  <c r="I283" i="41"/>
  <c r="I288" i="41"/>
  <c r="I289" i="41"/>
  <c r="I290" i="41"/>
  <c r="I302" i="41"/>
  <c r="I303" i="41"/>
  <c r="I304" i="41"/>
  <c r="I306" i="41"/>
  <c r="I307" i="41"/>
  <c r="I321" i="41"/>
  <c r="I331" i="41"/>
  <c r="I333" i="41"/>
  <c r="I338" i="41"/>
  <c r="I337" i="41" s="1"/>
  <c r="I341" i="41"/>
  <c r="I340" i="41" s="1"/>
  <c r="I346" i="41"/>
  <c r="I345" i="41" s="1"/>
  <c r="I344" i="41" s="1"/>
  <c r="I343" i="41" s="1"/>
  <c r="I35" i="41"/>
  <c r="I34" i="41" s="1"/>
  <c r="I144" i="41"/>
  <c r="I145" i="41"/>
  <c r="I146" i="41"/>
  <c r="I17" i="41"/>
  <c r="I16" i="41" s="1"/>
  <c r="I20" i="41"/>
  <c r="I19" i="41" s="1"/>
  <c r="I240" i="41"/>
  <c r="I239" i="41" s="1"/>
  <c r="I243" i="41"/>
  <c r="I246" i="41"/>
  <c r="I245" i="41" s="1"/>
  <c r="I250" i="41"/>
  <c r="I254" i="41"/>
  <c r="I382" i="41"/>
  <c r="I381" i="41" s="1"/>
  <c r="I380" i="41" s="1"/>
  <c r="I384" i="41"/>
  <c r="I383" i="41" s="1"/>
  <c r="H258" i="41"/>
  <c r="H264" i="41"/>
  <c r="H262" i="41" s="1"/>
  <c r="H270" i="41"/>
  <c r="H269" i="41" s="1"/>
  <c r="H272" i="41"/>
  <c r="H279" i="41"/>
  <c r="H283" i="41"/>
  <c r="H287" i="41"/>
  <c r="H301" i="41"/>
  <c r="H305" i="41"/>
  <c r="H315" i="41"/>
  <c r="H314" i="41" s="1"/>
  <c r="H321" i="41"/>
  <c r="H331" i="41"/>
  <c r="H333" i="41"/>
  <c r="H338" i="41"/>
  <c r="H337" i="41" s="1"/>
  <c r="H341" i="41"/>
  <c r="H340" i="41" s="1"/>
  <c r="H346" i="41"/>
  <c r="H345" i="41" s="1"/>
  <c r="H344" i="41" s="1"/>
  <c r="H343" i="41" s="1"/>
  <c r="H34" i="41"/>
  <c r="H143" i="41"/>
  <c r="H23" i="41"/>
  <c r="H17" i="41"/>
  <c r="H16" i="41" s="1"/>
  <c r="H20" i="41"/>
  <c r="H19" i="41" s="1"/>
  <c r="H174" i="41"/>
  <c r="H240" i="41"/>
  <c r="H239" i="41" s="1"/>
  <c r="H243" i="41"/>
  <c r="H245" i="41"/>
  <c r="H250" i="41"/>
  <c r="H254" i="41"/>
  <c r="H381" i="41"/>
  <c r="H380" i="41" s="1"/>
  <c r="H384" i="41"/>
  <c r="H383" i="41" s="1"/>
  <c r="G258" i="41"/>
  <c r="G262" i="41"/>
  <c r="G266" i="41"/>
  <c r="G265" i="41" s="1"/>
  <c r="G270" i="41"/>
  <c r="G269" i="41" s="1"/>
  <c r="G274" i="41"/>
  <c r="G275" i="41"/>
  <c r="G279" i="41"/>
  <c r="G283" i="41"/>
  <c r="G289" i="41"/>
  <c r="G290" i="41"/>
  <c r="G303" i="41"/>
  <c r="G301" i="41" s="1"/>
  <c r="G305" i="41"/>
  <c r="G319" i="41"/>
  <c r="G315" i="41" s="1"/>
  <c r="G314" i="41" s="1"/>
  <c r="G321" i="41"/>
  <c r="G331" i="41"/>
  <c r="G333" i="41"/>
  <c r="G338" i="41"/>
  <c r="G337" i="41" s="1"/>
  <c r="G341" i="41"/>
  <c r="G340" i="41" s="1"/>
  <c r="G346" i="41"/>
  <c r="G345" i="41" s="1"/>
  <c r="G344" i="41" s="1"/>
  <c r="G343" i="41" s="1"/>
  <c r="G35" i="41"/>
  <c r="G34" i="41" s="1"/>
  <c r="G143" i="41"/>
  <c r="G24" i="41"/>
  <c r="G25" i="41"/>
  <c r="G26" i="41"/>
  <c r="G17" i="41"/>
  <c r="G16" i="41" s="1"/>
  <c r="G20" i="41"/>
  <c r="G19" i="41" s="1"/>
  <c r="G175" i="41"/>
  <c r="G174" i="41" s="1"/>
  <c r="G240" i="41"/>
  <c r="G239" i="41" s="1"/>
  <c r="G243" i="41"/>
  <c r="G246" i="41"/>
  <c r="G245" i="41" s="1"/>
  <c r="G250" i="41"/>
  <c r="G254" i="41"/>
  <c r="G382" i="41"/>
  <c r="G381" i="41" s="1"/>
  <c r="G380" i="41" s="1"/>
  <c r="G384" i="41"/>
  <c r="G383" i="41" s="1"/>
  <c r="A4" i="48"/>
  <c r="A4" i="50"/>
  <c r="A4" i="42"/>
  <c r="AM13" i="38"/>
  <c r="AJ13" i="38"/>
  <c r="Q13" i="38"/>
  <c r="Z13" i="38"/>
  <c r="AC13" i="38"/>
  <c r="AF13" i="38"/>
  <c r="AS13" i="38"/>
  <c r="AV13" i="38"/>
  <c r="AY13" i="38"/>
  <c r="BB13" i="38"/>
  <c r="BH13" i="38"/>
  <c r="BK13" i="38"/>
  <c r="H13" i="38"/>
  <c r="K13" i="38"/>
  <c r="N13" i="38"/>
  <c r="A4" i="41"/>
  <c r="A4" i="40"/>
  <c r="A3" i="38"/>
  <c r="B13" i="38"/>
  <c r="M15" i="42" l="1"/>
  <c r="M14" i="42" s="1"/>
  <c r="U15" i="42"/>
  <c r="U14" i="42" s="1"/>
  <c r="M222" i="41"/>
  <c r="I15" i="42"/>
  <c r="I14" i="42" s="1"/>
  <c r="Q15" i="42"/>
  <c r="Q14" i="42" s="1"/>
  <c r="Y15" i="42"/>
  <c r="Y14" i="42" s="1"/>
  <c r="M17" i="36"/>
  <c r="J9" i="36"/>
  <c r="L17" i="36"/>
  <c r="I222" i="41"/>
  <c r="O222" i="41"/>
  <c r="U222" i="41"/>
  <c r="U219" i="41" s="1"/>
  <c r="U205" i="41" s="1"/>
  <c r="U204" i="41" s="1"/>
  <c r="I114" i="41"/>
  <c r="I107" i="41" s="1"/>
  <c r="W147" i="41"/>
  <c r="S273" i="41"/>
  <c r="S272" i="41" s="1"/>
  <c r="U273" i="41"/>
  <c r="U272" i="41" s="1"/>
  <c r="H147" i="41"/>
  <c r="H142" i="41" s="1"/>
  <c r="G273" i="41"/>
  <c r="W273" i="41"/>
  <c r="W272" i="41" s="1"/>
  <c r="J273" i="41"/>
  <c r="J272" i="41" s="1"/>
  <c r="M273" i="41"/>
  <c r="M272" i="41" s="1"/>
  <c r="O273" i="41"/>
  <c r="J15" i="42"/>
  <c r="J14" i="42" s="1"/>
  <c r="N15" i="42"/>
  <c r="N14" i="42" s="1"/>
  <c r="R15" i="42"/>
  <c r="R14" i="42" s="1"/>
  <c r="V15" i="42"/>
  <c r="V14" i="42" s="1"/>
  <c r="Z15" i="42"/>
  <c r="Z14" i="42" s="1"/>
  <c r="AD15" i="42"/>
  <c r="AD14" i="42" s="1"/>
  <c r="G15" i="42"/>
  <c r="G14" i="42" s="1"/>
  <c r="K15" i="42"/>
  <c r="K14" i="42" s="1"/>
  <c r="O15" i="42"/>
  <c r="O14" i="42" s="1"/>
  <c r="S15" i="42"/>
  <c r="S14" i="42" s="1"/>
  <c r="W15" i="42"/>
  <c r="W14" i="42" s="1"/>
  <c r="AA15" i="42"/>
  <c r="AA14" i="42" s="1"/>
  <c r="AE15" i="42"/>
  <c r="AE14" i="42" s="1"/>
  <c r="H15" i="42"/>
  <c r="H14" i="42" s="1"/>
  <c r="L15" i="42"/>
  <c r="L14" i="42" s="1"/>
  <c r="P15" i="42"/>
  <c r="P14" i="42" s="1"/>
  <c r="T15" i="42"/>
  <c r="T14" i="42" s="1"/>
  <c r="X15" i="42"/>
  <c r="X14" i="42" s="1"/>
  <c r="AB15" i="42"/>
  <c r="AB14" i="42" s="1"/>
  <c r="AC15" i="42"/>
  <c r="AC14" i="42" s="1"/>
  <c r="V79" i="41"/>
  <c r="M79" i="41"/>
  <c r="S79" i="41"/>
  <c r="Q79" i="41"/>
  <c r="I79" i="41"/>
  <c r="O79" i="41"/>
  <c r="O71" i="41" s="1"/>
  <c r="W107" i="41"/>
  <c r="M219" i="41"/>
  <c r="M205" i="41" s="1"/>
  <c r="M204" i="41" s="1"/>
  <c r="O219" i="41"/>
  <c r="O205" i="41" s="1"/>
  <c r="O204" i="41" s="1"/>
  <c r="I219" i="41"/>
  <c r="I205" i="41" s="1"/>
  <c r="I204" i="41" s="1"/>
  <c r="T183" i="41"/>
  <c r="T182" i="41" s="1"/>
  <c r="T177" i="41" s="1"/>
  <c r="R182" i="41"/>
  <c r="R177" i="41" s="1"/>
  <c r="V183" i="41"/>
  <c r="V182" i="41" s="1"/>
  <c r="V177" i="41" s="1"/>
  <c r="M182" i="41"/>
  <c r="M177" i="41" s="1"/>
  <c r="R38" i="41"/>
  <c r="R33" i="41" s="1"/>
  <c r="N71" i="41"/>
  <c r="W39" i="41"/>
  <c r="I38" i="41"/>
  <c r="I33" i="41" s="1"/>
  <c r="V38" i="41"/>
  <c r="O38" i="41"/>
  <c r="O33" i="41" s="1"/>
  <c r="T38" i="41"/>
  <c r="T33" i="41" s="1"/>
  <c r="J325" i="41"/>
  <c r="J324" i="41" s="1"/>
  <c r="G325" i="41"/>
  <c r="G324" i="41" s="1"/>
  <c r="H33" i="41"/>
  <c r="R142" i="41"/>
  <c r="Z33" i="41"/>
  <c r="L71" i="41"/>
  <c r="N286" i="41"/>
  <c r="Z107" i="41"/>
  <c r="K286" i="41"/>
  <c r="K186" i="41"/>
  <c r="H219" i="41"/>
  <c r="H205" i="41" s="1"/>
  <c r="H204" i="41" s="1"/>
  <c r="P71" i="41"/>
  <c r="W355" i="41"/>
  <c r="W200" i="41"/>
  <c r="W198" i="41" s="1"/>
  <c r="W197" i="41" s="1"/>
  <c r="Q183" i="41"/>
  <c r="Q182" i="41" s="1"/>
  <c r="R355" i="41"/>
  <c r="R354" i="41" s="1"/>
  <c r="R349" i="41" s="1"/>
  <c r="L379" i="41"/>
  <c r="L378" i="41" s="1"/>
  <c r="R242" i="41"/>
  <c r="R238" i="41" s="1"/>
  <c r="R237" i="41" s="1"/>
  <c r="R300" i="41"/>
  <c r="H355" i="41"/>
  <c r="H354" i="41" s="1"/>
  <c r="H349" i="41" s="1"/>
  <c r="H107" i="41"/>
  <c r="J219" i="41"/>
  <c r="J205" i="41" s="1"/>
  <c r="J204" i="41" s="1"/>
  <c r="S385" i="41"/>
  <c r="S384" i="41" s="1"/>
  <c r="S383" i="41" s="1"/>
  <c r="S379" i="41" s="1"/>
  <c r="S378" i="41" s="1"/>
  <c r="Z15" i="41"/>
  <c r="Z14" i="41" s="1"/>
  <c r="I72" i="41"/>
  <c r="Q72" i="41"/>
  <c r="M72" i="41"/>
  <c r="P33" i="41"/>
  <c r="U307" i="41"/>
  <c r="U305" i="41" s="1"/>
  <c r="J71" i="41"/>
  <c r="K107" i="41"/>
  <c r="O278" i="41"/>
  <c r="Q382" i="41"/>
  <c r="Q381" i="41" s="1"/>
  <c r="Q380" i="41" s="1"/>
  <c r="Q379" i="41" s="1"/>
  <c r="Q378" i="41" s="1"/>
  <c r="U142" i="41"/>
  <c r="X142" i="41"/>
  <c r="V355" i="41"/>
  <c r="V354" i="41" s="1"/>
  <c r="V349" i="41" s="1"/>
  <c r="G107" i="41"/>
  <c r="X72" i="41"/>
  <c r="S249" i="41"/>
  <c r="S248" i="41" s="1"/>
  <c r="S247" i="41" s="1"/>
  <c r="Z355" i="41"/>
  <c r="Z354" i="41" s="1"/>
  <c r="Z349" i="41" s="1"/>
  <c r="J355" i="41"/>
  <c r="J354" i="41" s="1"/>
  <c r="J349" i="41" s="1"/>
  <c r="P107" i="41"/>
  <c r="U107" i="41"/>
  <c r="R308" i="41"/>
  <c r="X308" i="41"/>
  <c r="Y278" i="41"/>
  <c r="G355" i="41"/>
  <c r="G354" i="41" s="1"/>
  <c r="G349" i="41" s="1"/>
  <c r="I308" i="41"/>
  <c r="K308" i="41"/>
  <c r="O308" i="41"/>
  <c r="N142" i="41"/>
  <c r="K355" i="41"/>
  <c r="K354" i="41" s="1"/>
  <c r="K349" i="41" s="1"/>
  <c r="L107" i="41"/>
  <c r="V219" i="41"/>
  <c r="V205" i="41" s="1"/>
  <c r="V204" i="41" s="1"/>
  <c r="H278" i="41"/>
  <c r="J142" i="41"/>
  <c r="O355" i="41"/>
  <c r="O354" i="41" s="1"/>
  <c r="O349" i="41" s="1"/>
  <c r="Q107" i="41"/>
  <c r="V107" i="41"/>
  <c r="L286" i="41"/>
  <c r="O261" i="41"/>
  <c r="R286" i="41"/>
  <c r="L355" i="41"/>
  <c r="L354" i="41" s="1"/>
  <c r="L349" i="41" s="1"/>
  <c r="H71" i="41"/>
  <c r="M107" i="41"/>
  <c r="T107" i="41"/>
  <c r="G71" i="41"/>
  <c r="L33" i="41"/>
  <c r="Y286" i="41"/>
  <c r="X355" i="41"/>
  <c r="G142" i="41"/>
  <c r="M249" i="41"/>
  <c r="M248" i="41" s="1"/>
  <c r="M247" i="41" s="1"/>
  <c r="O142" i="41"/>
  <c r="S142" i="41"/>
  <c r="U330" i="41"/>
  <c r="X107" i="41"/>
  <c r="G300" i="41"/>
  <c r="K330" i="41"/>
  <c r="K323" i="41" s="1"/>
  <c r="K320" i="41" s="1"/>
  <c r="K300" i="41"/>
  <c r="O272" i="41"/>
  <c r="Q142" i="41"/>
  <c r="N308" i="41"/>
  <c r="G278" i="41"/>
  <c r="J33" i="41"/>
  <c r="J249" i="41"/>
  <c r="J248" i="41" s="1"/>
  <c r="J247" i="41" s="1"/>
  <c r="J174" i="41"/>
  <c r="M142" i="41"/>
  <c r="V142" i="41"/>
  <c r="Y142" i="41"/>
  <c r="Y336" i="41"/>
  <c r="Y335" i="41" s="1"/>
  <c r="Z286" i="41"/>
  <c r="K71" i="41"/>
  <c r="L142" i="41"/>
  <c r="L186" i="41"/>
  <c r="I292" i="41"/>
  <c r="P142" i="41"/>
  <c r="M315" i="41"/>
  <c r="M314" i="41" s="1"/>
  <c r="P336" i="41"/>
  <c r="P335" i="41" s="1"/>
  <c r="Q249" i="41"/>
  <c r="Q248" i="41" s="1"/>
  <c r="Q247" i="41" s="1"/>
  <c r="U262" i="41"/>
  <c r="U261" i="41" s="1"/>
  <c r="Z177" i="41"/>
  <c r="X186" i="41"/>
  <c r="I274" i="41"/>
  <c r="J379" i="41"/>
  <c r="J378" i="41" s="1"/>
  <c r="P379" i="41"/>
  <c r="P378" i="41" s="1"/>
  <c r="V261" i="41"/>
  <c r="V260" i="41" s="1"/>
  <c r="V257" i="41" s="1"/>
  <c r="W330" i="41"/>
  <c r="W323" i="41" s="1"/>
  <c r="W320" i="41" s="1"/>
  <c r="W278" i="41"/>
  <c r="W372" i="41"/>
  <c r="W371" i="41" s="1"/>
  <c r="N107" i="41"/>
  <c r="P219" i="41"/>
  <c r="P205" i="41" s="1"/>
  <c r="P204" i="41" s="1"/>
  <c r="Q226" i="41"/>
  <c r="Q222" i="41" s="1"/>
  <c r="U249" i="41"/>
  <c r="U248" i="41" s="1"/>
  <c r="U247" i="41" s="1"/>
  <c r="Y330" i="41"/>
  <c r="Y323" i="41" s="1"/>
  <c r="Y320" i="41" s="1"/>
  <c r="S186" i="41"/>
  <c r="W186" i="41"/>
  <c r="K219" i="41"/>
  <c r="K205" i="41" s="1"/>
  <c r="K204" i="41" s="1"/>
  <c r="J107" i="41"/>
  <c r="I249" i="41"/>
  <c r="I248" i="41" s="1"/>
  <c r="I247" i="41" s="1"/>
  <c r="J330" i="41"/>
  <c r="J261" i="41"/>
  <c r="K242" i="41"/>
  <c r="K238" i="41" s="1"/>
  <c r="K237" i="41" s="1"/>
  <c r="M261" i="41"/>
  <c r="N278" i="41"/>
  <c r="O330" i="41"/>
  <c r="O323" i="41" s="1"/>
  <c r="O320" i="41" s="1"/>
  <c r="P300" i="41"/>
  <c r="Q261" i="41"/>
  <c r="R336" i="41"/>
  <c r="R335" i="41" s="1"/>
  <c r="W307" i="41"/>
  <c r="W305" i="41" s="1"/>
  <c r="Y261" i="41"/>
  <c r="Y260" i="41" s="1"/>
  <c r="Y257" i="41" s="1"/>
  <c r="Z330" i="41"/>
  <c r="Z323" i="41" s="1"/>
  <c r="Z320" i="41" s="1"/>
  <c r="Z261" i="41"/>
  <c r="Z260" i="41" s="1"/>
  <c r="Z257" i="41" s="1"/>
  <c r="Q50" i="41"/>
  <c r="H186" i="41"/>
  <c r="V308" i="41"/>
  <c r="J286" i="41"/>
  <c r="V305" i="41"/>
  <c r="X372" i="41"/>
  <c r="X371" i="41" s="1"/>
  <c r="M308" i="41"/>
  <c r="T286" i="41"/>
  <c r="G249" i="41"/>
  <c r="G248" i="41" s="1"/>
  <c r="G247" i="41" s="1"/>
  <c r="H300" i="41"/>
  <c r="I330" i="41"/>
  <c r="I323" i="41" s="1"/>
  <c r="I320" i="41" s="1"/>
  <c r="K249" i="41"/>
  <c r="K248" i="41" s="1"/>
  <c r="K247" i="41" s="1"/>
  <c r="M330" i="41"/>
  <c r="M323" i="41" s="1"/>
  <c r="M320" i="41" s="1"/>
  <c r="P330" i="41"/>
  <c r="P323" i="41" s="1"/>
  <c r="P320" i="41" s="1"/>
  <c r="R278" i="41"/>
  <c r="S330" i="41"/>
  <c r="S323" i="41" s="1"/>
  <c r="S320" i="41" s="1"/>
  <c r="T381" i="41"/>
  <c r="T380" i="41" s="1"/>
  <c r="T379" i="41" s="1"/>
  <c r="T378" i="41" s="1"/>
  <c r="T300" i="41"/>
  <c r="V242" i="41"/>
  <c r="V238" i="41" s="1"/>
  <c r="V237" i="41" s="1"/>
  <c r="X336" i="41"/>
  <c r="X335" i="41" s="1"/>
  <c r="X261" i="41"/>
  <c r="X260" i="41" s="1"/>
  <c r="X257" i="41" s="1"/>
  <c r="Z249" i="41"/>
  <c r="Z248" i="41" s="1"/>
  <c r="Z247" i="41" s="1"/>
  <c r="M372" i="41"/>
  <c r="M371" i="41" s="1"/>
  <c r="I177" i="41"/>
  <c r="L177" i="41"/>
  <c r="M48" i="41"/>
  <c r="M38" i="41" s="1"/>
  <c r="R108" i="41"/>
  <c r="R107" i="41" s="1"/>
  <c r="G186" i="41"/>
  <c r="O292" i="41"/>
  <c r="O286" i="41" s="1"/>
  <c r="U308" i="41"/>
  <c r="X219" i="41"/>
  <c r="X205" i="41" s="1"/>
  <c r="X204" i="41" s="1"/>
  <c r="W223" i="41"/>
  <c r="W222" i="41" s="1"/>
  <c r="G379" i="41"/>
  <c r="G378" i="41" s="1"/>
  <c r="H261" i="41"/>
  <c r="H260" i="41" s="1"/>
  <c r="H257" i="41" s="1"/>
  <c r="L300" i="41"/>
  <c r="H286" i="41"/>
  <c r="S336" i="41"/>
  <c r="S335" i="41" s="1"/>
  <c r="X249" i="41"/>
  <c r="X248" i="41" s="1"/>
  <c r="X247" i="41" s="1"/>
  <c r="X287" i="41"/>
  <c r="X286" i="41" s="1"/>
  <c r="W290" i="41"/>
  <c r="W287" i="41" s="1"/>
  <c r="W286" i="41" s="1"/>
  <c r="W35" i="41"/>
  <c r="W34" i="41" s="1"/>
  <c r="X34" i="41"/>
  <c r="X84" i="41"/>
  <c r="U84" i="41"/>
  <c r="U79" i="41" s="1"/>
  <c r="W308" i="41"/>
  <c r="G330" i="41"/>
  <c r="I262" i="41"/>
  <c r="I261" i="41" s="1"/>
  <c r="K33" i="41"/>
  <c r="L249" i="41"/>
  <c r="L248" i="41" s="1"/>
  <c r="L247" i="41" s="1"/>
  <c r="L261" i="41"/>
  <c r="L260" i="41" s="1"/>
  <c r="L257" i="41" s="1"/>
  <c r="M379" i="41"/>
  <c r="M378" i="41" s="1"/>
  <c r="M242" i="41"/>
  <c r="M238" i="41" s="1"/>
  <c r="M237" i="41" s="1"/>
  <c r="M336" i="41"/>
  <c r="M335" i="41" s="1"/>
  <c r="M301" i="41"/>
  <c r="M300" i="41" s="1"/>
  <c r="N261" i="41"/>
  <c r="N260" i="41" s="1"/>
  <c r="N257" i="41" s="1"/>
  <c r="O242" i="41"/>
  <c r="O238" i="41" s="1"/>
  <c r="O237" i="41" s="1"/>
  <c r="P242" i="41"/>
  <c r="P238" i="41" s="1"/>
  <c r="P237" i="41" s="1"/>
  <c r="P286" i="41"/>
  <c r="Q336" i="41"/>
  <c r="Q335" i="41" s="1"/>
  <c r="R249" i="41"/>
  <c r="R248" i="41" s="1"/>
  <c r="R247" i="41" s="1"/>
  <c r="R15" i="41"/>
  <c r="R14" i="41" s="1"/>
  <c r="X330" i="41"/>
  <c r="X323" i="41" s="1"/>
  <c r="X320" i="41" s="1"/>
  <c r="Y33" i="41"/>
  <c r="W142" i="41"/>
  <c r="K177" i="41"/>
  <c r="M198" i="41"/>
  <c r="M197" i="41" s="1"/>
  <c r="O186" i="41"/>
  <c r="G308" i="41"/>
  <c r="P308" i="41"/>
  <c r="Y308" i="41"/>
  <c r="K142" i="41"/>
  <c r="S315" i="41"/>
  <c r="S314" i="41" s="1"/>
  <c r="O107" i="41"/>
  <c r="S107" i="41"/>
  <c r="I355" i="41"/>
  <c r="H249" i="41"/>
  <c r="H248" i="41" s="1"/>
  <c r="H247" i="41" s="1"/>
  <c r="H15" i="41"/>
  <c r="H14" i="41" s="1"/>
  <c r="J300" i="41"/>
  <c r="L242" i="41"/>
  <c r="L238" i="41" s="1"/>
  <c r="L237" i="41" s="1"/>
  <c r="Q301" i="41"/>
  <c r="Q300" i="41" s="1"/>
  <c r="S242" i="41"/>
  <c r="S238" i="41" s="1"/>
  <c r="S237" i="41" s="1"/>
  <c r="S261" i="41"/>
  <c r="T242" i="41"/>
  <c r="T238" i="41" s="1"/>
  <c r="T237" i="41" s="1"/>
  <c r="T278" i="41"/>
  <c r="U336" i="41"/>
  <c r="U335" i="41" s="1"/>
  <c r="W23" i="41"/>
  <c r="Y242" i="41"/>
  <c r="Y238" i="41" s="1"/>
  <c r="Y237" i="41" s="1"/>
  <c r="N355" i="41"/>
  <c r="N354" i="41" s="1"/>
  <c r="N349" i="41" s="1"/>
  <c r="S198" i="41"/>
  <c r="S197" i="41" s="1"/>
  <c r="P186" i="41"/>
  <c r="T186" i="41"/>
  <c r="H308" i="41"/>
  <c r="J308" i="41"/>
  <c r="Q308" i="41"/>
  <c r="S308" i="41"/>
  <c r="Q355" i="41"/>
  <c r="Q354" i="41" s="1"/>
  <c r="Q349" i="41" s="1"/>
  <c r="G287" i="41"/>
  <c r="G286" i="41" s="1"/>
  <c r="I379" i="41"/>
  <c r="I378" i="41" s="1"/>
  <c r="I336" i="41"/>
  <c r="I335" i="41" s="1"/>
  <c r="I24" i="41"/>
  <c r="I23" i="41" s="1"/>
  <c r="J23" i="41"/>
  <c r="G336" i="41"/>
  <c r="G335" i="41" s="1"/>
  <c r="H242" i="41"/>
  <c r="H238" i="41" s="1"/>
  <c r="H237" i="41" s="1"/>
  <c r="Q15" i="41"/>
  <c r="Q14" i="41" s="1"/>
  <c r="G15" i="41"/>
  <c r="G14" i="41" s="1"/>
  <c r="H330" i="41"/>
  <c r="H323" i="41" s="1"/>
  <c r="H320" i="41" s="1"/>
  <c r="J336" i="41"/>
  <c r="J335" i="41" s="1"/>
  <c r="K261" i="41"/>
  <c r="K260" i="41" s="1"/>
  <c r="K257" i="41" s="1"/>
  <c r="L330" i="41"/>
  <c r="L323" i="41" s="1"/>
  <c r="L320" i="41" s="1"/>
  <c r="P249" i="41"/>
  <c r="P248" i="41" s="1"/>
  <c r="P247" i="41" s="1"/>
  <c r="H336" i="41"/>
  <c r="H335" i="41" s="1"/>
  <c r="I143" i="41"/>
  <c r="I142" i="41" s="1"/>
  <c r="L15" i="41"/>
  <c r="L14" i="41" s="1"/>
  <c r="N249" i="41"/>
  <c r="N248" i="41" s="1"/>
  <c r="N247" i="41" s="1"/>
  <c r="N330" i="41"/>
  <c r="N323" i="41" s="1"/>
  <c r="N320" i="41" s="1"/>
  <c r="O15" i="41"/>
  <c r="O14" i="41" s="1"/>
  <c r="O301" i="41"/>
  <c r="O300" i="41" s="1"/>
  <c r="P278" i="41"/>
  <c r="Q330" i="41"/>
  <c r="Q323" i="41" s="1"/>
  <c r="Q320" i="41" s="1"/>
  <c r="Q315" i="41"/>
  <c r="Q314" i="41" s="1"/>
  <c r="R261" i="41"/>
  <c r="R260" i="41" s="1"/>
  <c r="R257" i="41" s="1"/>
  <c r="G272" i="41"/>
  <c r="I15" i="41"/>
  <c r="I14" i="41" s="1"/>
  <c r="I301" i="41"/>
  <c r="J242" i="41"/>
  <c r="J238" i="41" s="1"/>
  <c r="J237" i="41" s="1"/>
  <c r="J315" i="41"/>
  <c r="J314" i="41" s="1"/>
  <c r="L336" i="41"/>
  <c r="L335" i="41" s="1"/>
  <c r="L278" i="41"/>
  <c r="N15" i="41"/>
  <c r="N14" i="41" s="1"/>
  <c r="N33" i="41"/>
  <c r="T249" i="41"/>
  <c r="T248" i="41" s="1"/>
  <c r="T247" i="41" s="1"/>
  <c r="V249" i="41"/>
  <c r="V248" i="41" s="1"/>
  <c r="V247" i="41" s="1"/>
  <c r="X304" i="41"/>
  <c r="V301" i="41"/>
  <c r="U304" i="41"/>
  <c r="U301" i="41" s="1"/>
  <c r="V77" i="41"/>
  <c r="V72" i="41" s="1"/>
  <c r="T71" i="41"/>
  <c r="S77" i="41"/>
  <c r="S72" i="41" s="1"/>
  <c r="T354" i="41"/>
  <c r="T349" i="41" s="1"/>
  <c r="I287" i="41"/>
  <c r="J15" i="41"/>
  <c r="J14" i="41" s="1"/>
  <c r="P15" i="41"/>
  <c r="P14" i="41" s="1"/>
  <c r="Q242" i="41"/>
  <c r="Q238" i="41" s="1"/>
  <c r="Q237" i="41" s="1"/>
  <c r="X85" i="41"/>
  <c r="W85" i="41" s="1"/>
  <c r="G23" i="41"/>
  <c r="G33" i="41"/>
  <c r="G261" i="41"/>
  <c r="H379" i="41"/>
  <c r="H378" i="41" s="1"/>
  <c r="I305" i="41"/>
  <c r="I278" i="41"/>
  <c r="J278" i="41"/>
  <c r="M15" i="41"/>
  <c r="M14" i="41" s="1"/>
  <c r="M278" i="41"/>
  <c r="N336" i="41"/>
  <c r="N335" i="41" s="1"/>
  <c r="Q286" i="41"/>
  <c r="S301" i="41"/>
  <c r="S300" i="41" s="1"/>
  <c r="T142" i="41"/>
  <c r="T330" i="41"/>
  <c r="T323" i="41" s="1"/>
  <c r="T320" i="41" s="1"/>
  <c r="Y107" i="41"/>
  <c r="R219" i="41"/>
  <c r="R205" i="41" s="1"/>
  <c r="R204" i="41" s="1"/>
  <c r="T219" i="41"/>
  <c r="T205" i="41" s="1"/>
  <c r="T204" i="41" s="1"/>
  <c r="S227" i="41"/>
  <c r="S222" i="41" s="1"/>
  <c r="S278" i="41"/>
  <c r="T15" i="41"/>
  <c r="T14" i="41" s="1"/>
  <c r="T336" i="41"/>
  <c r="T335" i="41" s="1"/>
  <c r="U379" i="41"/>
  <c r="U378" i="41" s="1"/>
  <c r="V330" i="41"/>
  <c r="W249" i="41"/>
  <c r="W248" i="41" s="1"/>
  <c r="W247" i="41" s="1"/>
  <c r="X15" i="41"/>
  <c r="X14" i="41" s="1"/>
  <c r="Y15" i="41"/>
  <c r="Y14" i="41" s="1"/>
  <c r="Z242" i="41"/>
  <c r="Z238" i="41" s="1"/>
  <c r="Z237" i="41" s="1"/>
  <c r="Z142" i="41"/>
  <c r="Z300" i="41"/>
  <c r="N177" i="41"/>
  <c r="I186" i="41"/>
  <c r="N186" i="41"/>
  <c r="Q186" i="41"/>
  <c r="V186" i="41"/>
  <c r="Y186" i="41"/>
  <c r="Y219" i="41"/>
  <c r="Y205" i="41" s="1"/>
  <c r="Y204" i="41" s="1"/>
  <c r="L219" i="41"/>
  <c r="L205" i="41" s="1"/>
  <c r="L204" i="41" s="1"/>
  <c r="N219" i="41"/>
  <c r="N205" i="41" s="1"/>
  <c r="N204" i="41" s="1"/>
  <c r="L308" i="41"/>
  <c r="Z308" i="41"/>
  <c r="Q278" i="41"/>
  <c r="S286" i="41"/>
  <c r="U15" i="41"/>
  <c r="U14" i="41" s="1"/>
  <c r="V278" i="41"/>
  <c r="W261" i="41"/>
  <c r="X379" i="41"/>
  <c r="X378" i="41" s="1"/>
  <c r="R71" i="41"/>
  <c r="W76" i="41"/>
  <c r="W72" i="41" s="1"/>
  <c r="P355" i="41"/>
  <c r="P354" i="41" s="1"/>
  <c r="P349" i="41" s="1"/>
  <c r="S355" i="41"/>
  <c r="S354" i="41" s="1"/>
  <c r="S349" i="41" s="1"/>
  <c r="U355" i="41"/>
  <c r="U354" i="41" s="1"/>
  <c r="U349" i="41" s="1"/>
  <c r="I198" i="41"/>
  <c r="I197" i="41" s="1"/>
  <c r="J177" i="41"/>
  <c r="U198" i="41"/>
  <c r="U197" i="41" s="1"/>
  <c r="W177" i="41"/>
  <c r="Y71" i="41"/>
  <c r="G219" i="41"/>
  <c r="G205" i="41" s="1"/>
  <c r="G204" i="41" s="1"/>
  <c r="Q272" i="41"/>
  <c r="S15" i="41"/>
  <c r="S14" i="41" s="1"/>
  <c r="U315" i="41"/>
  <c r="U314" i="41" s="1"/>
  <c r="U278" i="41"/>
  <c r="W379" i="41"/>
  <c r="W378" i="41" s="1"/>
  <c r="Y249" i="41"/>
  <c r="Y248" i="41" s="1"/>
  <c r="Y247" i="41" s="1"/>
  <c r="I372" i="41"/>
  <c r="I371" i="41" s="1"/>
  <c r="M355" i="41"/>
  <c r="Y355" i="41"/>
  <c r="Y354" i="41" s="1"/>
  <c r="Y349" i="41" s="1"/>
  <c r="P177" i="41"/>
  <c r="J186" i="41"/>
  <c r="R186" i="41"/>
  <c r="Z186" i="41"/>
  <c r="Z219" i="41"/>
  <c r="Z205" i="41" s="1"/>
  <c r="Z204" i="41" s="1"/>
  <c r="G242" i="41"/>
  <c r="G238" i="41" s="1"/>
  <c r="G237" i="41" s="1"/>
  <c r="I242" i="41"/>
  <c r="I238" i="41" s="1"/>
  <c r="I237" i="41" s="1"/>
  <c r="K15" i="41"/>
  <c r="K14" i="41" s="1"/>
  <c r="R379" i="41"/>
  <c r="R378" i="41" s="1"/>
  <c r="U242" i="41"/>
  <c r="U238" i="41" s="1"/>
  <c r="U237" i="41" s="1"/>
  <c r="V34" i="41"/>
  <c r="U35" i="41"/>
  <c r="U34" i="41" s="1"/>
  <c r="I319" i="41"/>
  <c r="I315" i="41" s="1"/>
  <c r="I314" i="41" s="1"/>
  <c r="K278" i="41"/>
  <c r="N242" i="41"/>
  <c r="N238" i="41" s="1"/>
  <c r="N237" i="41" s="1"/>
  <c r="O249" i="41"/>
  <c r="O248" i="41" s="1"/>
  <c r="O247" i="41" s="1"/>
  <c r="O315" i="41"/>
  <c r="O314" i="41" s="1"/>
  <c r="T261" i="41"/>
  <c r="T260" i="41" s="1"/>
  <c r="T257" i="41" s="1"/>
  <c r="U328" i="41"/>
  <c r="V324" i="41"/>
  <c r="K379" i="41"/>
  <c r="K378" i="41" s="1"/>
  <c r="K336" i="41"/>
  <c r="K335" i="41" s="1"/>
  <c r="N379" i="41"/>
  <c r="N378" i="41" s="1"/>
  <c r="O379" i="41"/>
  <c r="O378" i="41" s="1"/>
  <c r="O336" i="41"/>
  <c r="O335" i="41" s="1"/>
  <c r="R330" i="41"/>
  <c r="R323" i="41" s="1"/>
  <c r="R320" i="41" s="1"/>
  <c r="V15" i="41"/>
  <c r="V14" i="41" s="1"/>
  <c r="X245" i="41"/>
  <c r="X242" i="41" s="1"/>
  <c r="X238" i="41" s="1"/>
  <c r="X237" i="41" s="1"/>
  <c r="W246" i="41"/>
  <c r="W245" i="41" s="1"/>
  <c r="W242" i="41" s="1"/>
  <c r="W238" i="41" s="1"/>
  <c r="W237" i="41" s="1"/>
  <c r="N300" i="41"/>
  <c r="P261" i="41"/>
  <c r="P260" i="41" s="1"/>
  <c r="P257" i="41" s="1"/>
  <c r="V287" i="41"/>
  <c r="U289" i="41"/>
  <c r="U287" i="41" s="1"/>
  <c r="W15" i="41"/>
  <c r="W14" i="41" s="1"/>
  <c r="Y379" i="41"/>
  <c r="Y378" i="41" s="1"/>
  <c r="V379" i="41"/>
  <c r="V378" i="41" s="1"/>
  <c r="V336" i="41"/>
  <c r="V335" i="41" s="1"/>
  <c r="W336" i="41"/>
  <c r="W335" i="41" s="1"/>
  <c r="W315" i="41"/>
  <c r="W314" i="41" s="1"/>
  <c r="X278" i="41"/>
  <c r="Z278" i="41"/>
  <c r="G177" i="41"/>
  <c r="R198" i="41"/>
  <c r="R197" i="41" s="1"/>
  <c r="Q200" i="41"/>
  <c r="Q198" i="41" s="1"/>
  <c r="Q197" i="41" s="1"/>
  <c r="X177" i="41"/>
  <c r="Y300" i="41"/>
  <c r="Z379" i="41"/>
  <c r="Z378" i="41" s="1"/>
  <c r="Z336" i="41"/>
  <c r="Z335" i="41" s="1"/>
  <c r="H177" i="41"/>
  <c r="O177" i="41"/>
  <c r="Y177" i="41"/>
  <c r="U47" i="41"/>
  <c r="X47" i="41"/>
  <c r="W47" i="41" s="1"/>
  <c r="V292" i="41"/>
  <c r="U293" i="41"/>
  <c r="U292" i="41" s="1"/>
  <c r="S49" i="41"/>
  <c r="S38" i="41" s="1"/>
  <c r="M186" i="41"/>
  <c r="U186" i="41"/>
  <c r="M292" i="41"/>
  <c r="M286" i="41" s="1"/>
  <c r="T308" i="41"/>
  <c r="Q44" i="41"/>
  <c r="U46" i="41"/>
  <c r="W12" i="41" l="1"/>
  <c r="N9" i="36"/>
  <c r="L9" i="36"/>
  <c r="M260" i="41"/>
  <c r="M257" i="41" s="1"/>
  <c r="I273" i="41"/>
  <c r="I272" i="41" s="1"/>
  <c r="I260" i="41" s="1"/>
  <c r="I257" i="41" s="1"/>
  <c r="X79" i="41"/>
  <c r="X71" i="41" s="1"/>
  <c r="K176" i="41"/>
  <c r="K173" i="41" s="1"/>
  <c r="U183" i="41"/>
  <c r="U182" i="41" s="1"/>
  <c r="U177" i="41" s="1"/>
  <c r="U176" i="41" s="1"/>
  <c r="U173" i="41" s="1"/>
  <c r="Q219" i="41"/>
  <c r="Q205" i="41" s="1"/>
  <c r="Q204" i="41" s="1"/>
  <c r="S219" i="41"/>
  <c r="S205" i="41" s="1"/>
  <c r="S204" i="41" s="1"/>
  <c r="W219" i="41"/>
  <c r="W205" i="41" s="1"/>
  <c r="W204" i="41" s="1"/>
  <c r="Q38" i="41"/>
  <c r="Q33" i="41" s="1"/>
  <c r="S183" i="41"/>
  <c r="S182" i="41" s="1"/>
  <c r="S177" i="41" s="1"/>
  <c r="S176" i="41" s="1"/>
  <c r="S173" i="41" s="1"/>
  <c r="U38" i="41"/>
  <c r="U33" i="41" s="1"/>
  <c r="X38" i="41"/>
  <c r="X33" i="41" s="1"/>
  <c r="W38" i="41"/>
  <c r="W33" i="41" s="1"/>
  <c r="J323" i="41"/>
  <c r="J320" i="41" s="1"/>
  <c r="U325" i="41"/>
  <c r="U324" i="41" s="1"/>
  <c r="U323" i="41" s="1"/>
  <c r="U320" i="41" s="1"/>
  <c r="G323" i="41"/>
  <c r="G320" i="41" s="1"/>
  <c r="Z32" i="41"/>
  <c r="Z22" i="41" s="1"/>
  <c r="W354" i="41"/>
  <c r="W349" i="41" s="1"/>
  <c r="Q177" i="41"/>
  <c r="Q176" i="41" s="1"/>
  <c r="Q173" i="41" s="1"/>
  <c r="W84" i="41"/>
  <c r="M71" i="41"/>
  <c r="X176" i="41"/>
  <c r="X173" i="41" s="1"/>
  <c r="U300" i="41"/>
  <c r="O260" i="41"/>
  <c r="O257" i="41" s="1"/>
  <c r="O176" i="41"/>
  <c r="O173" i="41" s="1"/>
  <c r="R285" i="41"/>
  <c r="R277" i="41" s="1"/>
  <c r="R256" i="41" s="1"/>
  <c r="X354" i="41"/>
  <c r="X349" i="41" s="1"/>
  <c r="H176" i="41"/>
  <c r="H173" i="41" s="1"/>
  <c r="L176" i="41"/>
  <c r="L173" i="41" s="1"/>
  <c r="H32" i="41"/>
  <c r="H22" i="41" s="1"/>
  <c r="J260" i="41"/>
  <c r="J257" i="41" s="1"/>
  <c r="P32" i="41"/>
  <c r="P22" i="41" s="1"/>
  <c r="Q260" i="41"/>
  <c r="Q257" i="41" s="1"/>
  <c r="Z176" i="41"/>
  <c r="Z173" i="41" s="1"/>
  <c r="T176" i="41"/>
  <c r="T173" i="41" s="1"/>
  <c r="G32" i="41"/>
  <c r="G22" i="41" s="1"/>
  <c r="N32" i="41"/>
  <c r="N22" i="41" s="1"/>
  <c r="G285" i="41"/>
  <c r="G277" i="41" s="1"/>
  <c r="K285" i="41"/>
  <c r="K277" i="41" s="1"/>
  <c r="K256" i="41" s="1"/>
  <c r="T285" i="41"/>
  <c r="T277" i="41" s="1"/>
  <c r="T256" i="41" s="1"/>
  <c r="I300" i="41"/>
  <c r="J32" i="41"/>
  <c r="J22" i="41" s="1"/>
  <c r="L32" i="41"/>
  <c r="L22" i="41" s="1"/>
  <c r="U260" i="41"/>
  <c r="U257" i="41" s="1"/>
  <c r="I354" i="41"/>
  <c r="I349" i="41" s="1"/>
  <c r="N285" i="41"/>
  <c r="N277" i="41" s="1"/>
  <c r="N256" i="41" s="1"/>
  <c r="P176" i="41"/>
  <c r="P173" i="41" s="1"/>
  <c r="Z285" i="41"/>
  <c r="Z277" i="41" s="1"/>
  <c r="Z256" i="41" s="1"/>
  <c r="I286" i="41"/>
  <c r="M33" i="41"/>
  <c r="S33" i="41"/>
  <c r="U77" i="41"/>
  <c r="G176" i="41"/>
  <c r="G173" i="41" s="1"/>
  <c r="N176" i="41"/>
  <c r="N173" i="41" s="1"/>
  <c r="S71" i="41"/>
  <c r="V300" i="41"/>
  <c r="S260" i="41"/>
  <c r="S257" i="41" s="1"/>
  <c r="W176" i="41"/>
  <c r="W173" i="41" s="1"/>
  <c r="S285" i="41"/>
  <c r="S277" i="41" s="1"/>
  <c r="H285" i="41"/>
  <c r="H277" i="41" s="1"/>
  <c r="H256" i="41" s="1"/>
  <c r="V33" i="41"/>
  <c r="M285" i="41"/>
  <c r="M277" i="41" s="1"/>
  <c r="M256" i="41" s="1"/>
  <c r="O285" i="41"/>
  <c r="O277" i="41" s="1"/>
  <c r="V176" i="41"/>
  <c r="V173" i="41" s="1"/>
  <c r="R176" i="41"/>
  <c r="R173" i="41" s="1"/>
  <c r="L285" i="41"/>
  <c r="L277" i="41" s="1"/>
  <c r="L256" i="41" s="1"/>
  <c r="P285" i="41"/>
  <c r="P277" i="41" s="1"/>
  <c r="P256" i="41" s="1"/>
  <c r="J285" i="41"/>
  <c r="J277" i="41" s="1"/>
  <c r="Y285" i="41"/>
  <c r="Y277" i="41" s="1"/>
  <c r="Y256" i="41" s="1"/>
  <c r="M354" i="41"/>
  <c r="M349" i="41" s="1"/>
  <c r="M176" i="41"/>
  <c r="M173" i="41" s="1"/>
  <c r="V71" i="41"/>
  <c r="T32" i="41"/>
  <c r="T22" i="41" s="1"/>
  <c r="Y32" i="41"/>
  <c r="Y22" i="41" s="1"/>
  <c r="Q285" i="41"/>
  <c r="Q277" i="41" s="1"/>
  <c r="J176" i="41"/>
  <c r="J173" i="41" s="1"/>
  <c r="I176" i="41"/>
  <c r="I173" i="41" s="1"/>
  <c r="K32" i="41"/>
  <c r="K22" i="41" s="1"/>
  <c r="G260" i="41"/>
  <c r="G257" i="41" s="1"/>
  <c r="I71" i="41"/>
  <c r="I32" i="41" s="1"/>
  <c r="I22" i="41" s="1"/>
  <c r="R32" i="41"/>
  <c r="R22" i="41" s="1"/>
  <c r="Y176" i="41"/>
  <c r="Y173" i="41" s="1"/>
  <c r="V323" i="41"/>
  <c r="V320" i="41" s="1"/>
  <c r="W260" i="41"/>
  <c r="W257" i="41" s="1"/>
  <c r="O32" i="41"/>
  <c r="O22" i="41" s="1"/>
  <c r="W304" i="41"/>
  <c r="W301" i="41" s="1"/>
  <c r="W300" i="41" s="1"/>
  <c r="W285" i="41" s="1"/>
  <c r="W277" i="41" s="1"/>
  <c r="X301" i="41"/>
  <c r="X300" i="41" s="1"/>
  <c r="X285" i="41" s="1"/>
  <c r="X277" i="41" s="1"/>
  <c r="X256" i="41" s="1"/>
  <c r="Q71" i="41"/>
  <c r="U286" i="41"/>
  <c r="V286" i="41"/>
  <c r="W79" i="41" l="1"/>
  <c r="W71" i="41" s="1"/>
  <c r="W32" i="41" s="1"/>
  <c r="W22" i="41" s="1"/>
  <c r="U285" i="41"/>
  <c r="U277" i="41" s="1"/>
  <c r="U256" i="41" s="1"/>
  <c r="M32" i="41"/>
  <c r="M22" i="41" s="1"/>
  <c r="M13" i="41" s="1"/>
  <c r="Q256" i="41"/>
  <c r="O256" i="41"/>
  <c r="O13" i="41" s="1"/>
  <c r="Z13" i="41"/>
  <c r="L13" i="41"/>
  <c r="J256" i="41"/>
  <c r="J13" i="41" s="1"/>
  <c r="H13" i="41"/>
  <c r="U72" i="41"/>
  <c r="U71" i="41" s="1"/>
  <c r="U32" i="41" s="1"/>
  <c r="U22" i="41" s="1"/>
  <c r="P13" i="41"/>
  <c r="K13" i="41"/>
  <c r="S32" i="41"/>
  <c r="S22" i="41" s="1"/>
  <c r="G256" i="41"/>
  <c r="G13" i="41" s="1"/>
  <c r="I285" i="41"/>
  <c r="I277" i="41" s="1"/>
  <c r="I256" i="41" s="1"/>
  <c r="I13" i="41" s="1"/>
  <c r="N13" i="41"/>
  <c r="V285" i="41"/>
  <c r="V277" i="41" s="1"/>
  <c r="V256" i="41" s="1"/>
  <c r="S256" i="41"/>
  <c r="Q32" i="41"/>
  <c r="Q22" i="41" s="1"/>
  <c r="V32" i="41"/>
  <c r="V22" i="41" s="1"/>
  <c r="Y13" i="41"/>
  <c r="R13" i="41"/>
  <c r="T13" i="41"/>
  <c r="X32" i="41"/>
  <c r="X22" i="41" s="1"/>
  <c r="X13" i="41" s="1"/>
  <c r="W256" i="41"/>
  <c r="U13" i="41" l="1"/>
  <c r="Q13" i="41"/>
  <c r="W13" i="41"/>
  <c r="S13" i="41"/>
  <c r="V13" i="41"/>
</calcChain>
</file>

<file path=xl/sharedStrings.xml><?xml version="1.0" encoding="utf-8"?>
<sst xmlns="http://schemas.openxmlformats.org/spreadsheetml/2006/main" count="3118" uniqueCount="1369">
  <si>
    <t>2</t>
  </si>
  <si>
    <t>Đơn vị: Triệu đồng</t>
  </si>
  <si>
    <t>…</t>
  </si>
  <si>
    <t>Tổng số (tất cả các nguồn vốn)</t>
  </si>
  <si>
    <t>TỔNG SỐ</t>
  </si>
  <si>
    <t>3</t>
  </si>
  <si>
    <t>4</t>
  </si>
  <si>
    <t xml:space="preserve">Trong đó: </t>
  </si>
  <si>
    <t>Trong đó:</t>
  </si>
  <si>
    <t>Quy đổi ra tiền Việt</t>
  </si>
  <si>
    <t>Danh mục dự án</t>
  </si>
  <si>
    <t>PHÂN LOẠI NHƯ TRÊN</t>
  </si>
  <si>
    <t>Trong đó: NSTW</t>
  </si>
  <si>
    <t>1</t>
  </si>
  <si>
    <t>5</t>
  </si>
  <si>
    <t>Số quyết định ngày, tháng, năm ban hành</t>
  </si>
  <si>
    <t>Nguồn vốn</t>
  </si>
  <si>
    <t>Dự án nhóm A</t>
  </si>
  <si>
    <t>Dự án nhóm B</t>
  </si>
  <si>
    <t>c</t>
  </si>
  <si>
    <t>Dự án nhóm C</t>
  </si>
  <si>
    <t>Kế hoạch</t>
  </si>
  <si>
    <t>STT</t>
  </si>
  <si>
    <t>(3)</t>
  </si>
  <si>
    <t>(4)</t>
  </si>
  <si>
    <t xml:space="preserve">Ghi chú: * Đề nghị các dự án ghi rõ dự kiến năm hoàn thành để có cơ sở xác định số dự án hoàn thành trong các năm </t>
  </si>
  <si>
    <t>Trong đó: thu hồi các khoản vốn ứng trước</t>
  </si>
  <si>
    <t>Bộ, ngành, tổng công ty …….</t>
  </si>
  <si>
    <t>TT</t>
  </si>
  <si>
    <t>Địa điểm XD</t>
  </si>
  <si>
    <t>Năng lực thiết kế</t>
  </si>
  <si>
    <t>Thời gian KC-HT</t>
  </si>
  <si>
    <t>Quyết định đầu tư</t>
  </si>
  <si>
    <t>Ghi chú</t>
  </si>
  <si>
    <t xml:space="preserve">Số quyết định </t>
  </si>
  <si>
    <t xml:space="preserve">TMĐT </t>
  </si>
  <si>
    <t>Tổng số</t>
  </si>
  <si>
    <t>A</t>
  </si>
  <si>
    <t>I</t>
  </si>
  <si>
    <t>(1)</t>
  </si>
  <si>
    <t>Dự án ...</t>
  </si>
  <si>
    <t>(2)</t>
  </si>
  <si>
    <t>………..</t>
  </si>
  <si>
    <t>II</t>
  </si>
  <si>
    <t>B</t>
  </si>
  <si>
    <t>a</t>
  </si>
  <si>
    <t>b</t>
  </si>
  <si>
    <t>Dự kiến KH đầu tư trung hạn giai đoạn 2021-2025</t>
  </si>
  <si>
    <t>6</t>
  </si>
  <si>
    <t>7</t>
  </si>
  <si>
    <t>8</t>
  </si>
  <si>
    <t>9</t>
  </si>
  <si>
    <t>Vốn NSNN (vốn ngân sách trung ương)</t>
  </si>
  <si>
    <t>Vốn nước ngoài</t>
  </si>
  <si>
    <t>-</t>
  </si>
  <si>
    <t>Biểu mẫu số I.a</t>
  </si>
  <si>
    <t>Bộ, cơ quan trung ương………</t>
  </si>
  <si>
    <t>Chuẩn bị đầu tư</t>
  </si>
  <si>
    <t>Thực hiện dự án</t>
  </si>
  <si>
    <t>Mã dự án</t>
  </si>
  <si>
    <t>Nhà tài trợ</t>
  </si>
  <si>
    <t>Ngày ký kết hiệp định</t>
  </si>
  <si>
    <t>Ngày kết thúc Hiệp định</t>
  </si>
  <si>
    <t>Tính bằng nguyên tệ</t>
  </si>
  <si>
    <t>Đưa vào cân đối NSTW</t>
  </si>
  <si>
    <t>Vay lại</t>
  </si>
  <si>
    <t>Thu hồi các khoản vốn ứng trước</t>
  </si>
  <si>
    <t>Trong đó: vốn NSTW</t>
  </si>
  <si>
    <t>Đầu tư từ nguồn thu sử dụng đất</t>
  </si>
  <si>
    <t>Xổ số kiến thiết</t>
  </si>
  <si>
    <t>Bội chi ngân sách địa phương</t>
  </si>
  <si>
    <t>Vốn trong nước</t>
  </si>
  <si>
    <t>Trong đó: vốn từ nguồn thu hợp pháp</t>
  </si>
  <si>
    <r>
      <t xml:space="preserve">ĐẦU TƯ TỪ NGUỒN THU… </t>
    </r>
    <r>
      <rPr>
        <b/>
        <vertAlign val="superscript"/>
        <sz val="14"/>
        <rFont val="Times New Roman"/>
        <family val="1"/>
      </rPr>
      <t>(1)</t>
    </r>
  </si>
  <si>
    <t>Vốn từ nguồn thu hợp pháp của các cơ quan nhà nước, đơn vị sự nghiệp công lập dành để đầu tư theo quy định của pháp luật</t>
  </si>
  <si>
    <t>Ghi chú: (1) Báo cáo từng loại nguồn thu hợp pháp dành để đầu tư theo quy định của pháp luật</t>
  </si>
  <si>
    <t>(Kèm theo văn bản số             /BKHĐT-TH ngày     tháng 7 năm 2021 của Bộ Kế hoạch và Đầu tư)</t>
  </si>
  <si>
    <t>Nhu cầu kế hoạch năm 2022</t>
  </si>
  <si>
    <t>Dự kiến kế hoạch năm 2022</t>
  </si>
  <si>
    <t>ƯỚC TÌNH HÌNH THỰC HIỆN KẾ HOẠCH ĐẦU TƯ CÔNG NĂM 2021 VÀ
DỰ KIẾN KẾ HOẠCH ĐẦU TƯ CÔNG NĂM 2022 CỦA BỘ, CƠ QUAN TRUNG ƯƠNG</t>
  </si>
  <si>
    <t>Năm 2021</t>
  </si>
  <si>
    <t>Ước giải ngân từ 1/1/2021 đến 31/7/2021</t>
  </si>
  <si>
    <t>Ước giải ngân từ 1/1/2021 đến 31/12/2021</t>
  </si>
  <si>
    <t>Nhiệm vụ chuẩn bị đầu tư</t>
  </si>
  <si>
    <t>Vốn ngân sách trung ương bổ sung cho địa phương</t>
  </si>
  <si>
    <t>Vốn ngân sách địa phương</t>
  </si>
  <si>
    <t>Vốn đầu tư trong cân đối ngân sách địa phương (không bao gồm đất, xổ số và bội chi)</t>
  </si>
  <si>
    <t xml:space="preserve">Vốn NSNN </t>
  </si>
  <si>
    <t>Thanh toán nợ XDCB (nếu có)</t>
  </si>
  <si>
    <t>Trong đó: NST</t>
  </si>
  <si>
    <t>Biểu mẫu số I</t>
  </si>
  <si>
    <t>KH đầu tư trung hạn giai đoạn 2021-2025</t>
  </si>
  <si>
    <t xml:space="preserve">Vốn đối ứng </t>
  </si>
  <si>
    <t>Tổng số: vốn NSTW</t>
  </si>
  <si>
    <t xml:space="preserve">Vốn nước ngoài (tính theo tiền Việt) </t>
  </si>
  <si>
    <t xml:space="preserve">Vốn đối ứng (tính theo tiền Việt) </t>
  </si>
  <si>
    <t>KH đầu tư công trung hạn giai đoạn 2021-2025</t>
  </si>
  <si>
    <t>Vốn nước ngoài (tính theo ngoại tệ trong Hiệp định)</t>
  </si>
  <si>
    <t>Vốn từ nguồn thu hợp pháp của các cơ quan nhà nước, đơn vị sự nghiệp công lập dành để đầu tư theo quy định của pháp luật.</t>
  </si>
  <si>
    <t>ƯỚC TÌNH HÌNH THỰC HIỆN KẾ HOẠCH ĐẦU TƯ CÔNG NĂM 2024 VÀ
DỰ KIẾN KẾ HOẠCH ĐẦU TƯ CÔNG NĂM 2025 CỦA ĐỊA PHƯƠNG</t>
  </si>
  <si>
    <t>Năm 2024</t>
  </si>
  <si>
    <t>Giải ngân từ 1/1/2024 đến 30/6/2024</t>
  </si>
  <si>
    <t>Ước giải ngân từ 1/1/2024 đến 30/9/2024</t>
  </si>
  <si>
    <t>Ước giải ngân từ 1/1/2024 đến 31/1/2025</t>
  </si>
  <si>
    <t>Nhu cầu kế hoạch năm 2025</t>
  </si>
  <si>
    <t>Dự kiến kế hoạch năm 2025</t>
  </si>
  <si>
    <t>KH đầu tư công trung hạn giai đoạn 2021-2025 đã giao hết năm 2024</t>
  </si>
  <si>
    <t>Dự kiến kế hoạch 2025</t>
  </si>
  <si>
    <t>Các dự án hoàn thành, bàn giao, đưa vào sử dụng đến ngày 31/12/2024</t>
  </si>
  <si>
    <t>Các dự án dự kiến hoàn thành năm 2025</t>
  </si>
  <si>
    <t>Các dự án chuyển tiếp hoàn thành sau năm 2025</t>
  </si>
  <si>
    <t>CHI TIẾT TÌNH HÌNH THỰC HIỆN KẾ HOẠCH ĐẦU TƯ CÔNG NĂM 2024
VÀ DỰ KIẾN KẾ HOẠCH ĐẦU TƯ CÔNG NĂM 2025 VỐN NGÂN SÁCH TRUNG ƯƠNG (VỐN NƯỚC NGOÀI)</t>
  </si>
  <si>
    <t>KH đầu tư trung hạn giai đoạn 2021-2025 đã giao đến năm 2024</t>
  </si>
  <si>
    <t>Dự kiến KH năm 2025</t>
  </si>
  <si>
    <t>Giải ngân từ 1/1/2024 đến 30/9/2024</t>
  </si>
  <si>
    <t>Các dự án khởi công mới năm 2025</t>
  </si>
  <si>
    <t>Chương trình MTQG giảm nghèo bền vững</t>
  </si>
  <si>
    <t>Chương trình MTQG xây dựng nông thôn mới</t>
  </si>
  <si>
    <t>Biểu mẫu VI</t>
  </si>
  <si>
    <t>CHI TIẾT TÌNH HÌNH THỰC HIỆN KẾ HOẠCH ĐẦU TƯ CÔNG NĂM 2024
VÀ DỰ KIẾN KẾ HOẠCH ĐẦU TƯ CÔNG NĂM 2025 CHƯƠNG TRÌNH MỤC TIÊU QUỐC GIA</t>
  </si>
  <si>
    <t xml:space="preserve">Chương trình MTQG ..... </t>
  </si>
  <si>
    <t>III</t>
  </si>
  <si>
    <t>TMĐT</t>
  </si>
  <si>
    <t>Tổng</t>
  </si>
  <si>
    <t>NSĐP</t>
  </si>
  <si>
    <t>NSTW</t>
  </si>
  <si>
    <t>Địa điểm xây dựng</t>
  </si>
  <si>
    <t>Nâng lực thiết kế</t>
  </si>
  <si>
    <t>Quyết định đầu tư ban đầu hoặc Quyết định đầu tư điều chỉnh của cấp có thẩm quyền</t>
  </si>
  <si>
    <t>Số quyết định, ngày, tháng, năm ban hành</t>
  </si>
  <si>
    <t>Ngân sách nhà nước</t>
  </si>
  <si>
    <t>Nguồn huy động (nếu có)</t>
  </si>
  <si>
    <t>Vốn đã bố trí lũy kế đến hết năm 2023 (nếu có) và kết quả thực hiện</t>
  </si>
  <si>
    <t>Vốn đã bố trí lũy kế đến hết năm 2023 (nếu có)</t>
  </si>
  <si>
    <t>Số vốn đã làm thủ tục kéo dài thời gian thực hiện sang năm 2024 theo các Nghị quyết số 104/2023/QH5, 108/2023/QH15 (nếu có)</t>
  </si>
  <si>
    <t>Kết quả giải ngân vốn đã làm thủ lục kéo dài thời gian thực hiện sang 2024 (nếu có) trong 6 tháng đầu năm 2024</t>
  </si>
  <si>
    <t>Thực hiện kế hoạch vốn năm 2024</t>
  </si>
  <si>
    <t>Kết quả giải ngân đến 30/6/2024</t>
  </si>
  <si>
    <t>Dự kiến nhu cầu vốn 2025</t>
  </si>
  <si>
    <t>Chi tiết</t>
  </si>
  <si>
    <t>Tổng cộng</t>
  </si>
  <si>
    <r>
      <rPr>
        <i/>
        <sz val="13"/>
        <rFont val="Times New Roman"/>
        <family val="1"/>
      </rPr>
      <t>- (1): Tên Chương trình mục tiêu quốc gia.</t>
    </r>
  </si>
  <si>
    <t>C</t>
  </si>
  <si>
    <t>Tên loại văn bản</t>
  </si>
  <si>
    <t>Số ký hiệu</t>
  </si>
  <si>
    <t>1.</t>
  </si>
  <si>
    <t>1.1</t>
  </si>
  <si>
    <t>1.2</t>
  </si>
  <si>
    <t>2.</t>
  </si>
  <si>
    <t>Văn bản do Hội đồng nhân dân cấp tỉnh ban hành</t>
  </si>
  <si>
    <t>VĂN BẢN QUY ĐỊNH CHUNG CHO QUẢN LÝ, TỔ CHỨC THỰC HIỆN CÁC CHƯƠNG TRÌNH MỤC TIÊU QUỐC GIA</t>
  </si>
  <si>
    <t>VĂN BẢN DO HỘI ĐỒNG NHÂN DÂN CẤP TỈNH BAN HÀNH</t>
  </si>
  <si>
    <t>VĂN BẢN DO ỦY BAN NHÂN DÂN CẤP TỈNH BAN HÀNH</t>
  </si>
  <si>
    <t>Quy định về tổ chức thực hiện các chương trình mục tiêu quốc gia theo thẩm quyền phân cấp</t>
  </si>
  <si>
    <t>Văn bản do Ủy ban nhân dân cấp tỉnh ban hành</t>
  </si>
  <si>
    <t>Quy định về tổ chức thực hiện các chương trình mục tiêu quốc gia tại địa phương theo thẩm quyền phân cấp</t>
  </si>
  <si>
    <t>VĂN BẢN QUY ĐỊNH RIÊNG CHO TỪNG CHƯƠNG TRÌNH MỤC TIÊU QUỐC GIA</t>
  </si>
  <si>
    <t>Giải ngân kế hoạch năm 2024 từ 1/1/2024 đến 30/6/2024</t>
  </si>
  <si>
    <t>Ước giải ngân kế hoạch năm 2024 từ 1/1/2024 đến 30/9/2024</t>
  </si>
  <si>
    <t>Ước giải ngân kế hoạch năm 2024 từ 1/1/2024 đến 31/1/2025</t>
  </si>
  <si>
    <t>Kết quả giải ngân đến hết 31/01/2024</t>
  </si>
  <si>
    <t>KẾT QUẢ XÂY DỰNG VĂN BẢN QUẢN LÝ, TỔ CHỨC THỰC HIỆN
CÁC CHƯƠNG TRÌNH MỤC TIÊU QUỐC GIA ĐẾN NĂM 2024</t>
  </si>
  <si>
    <t>2.1</t>
  </si>
  <si>
    <t>2.2</t>
  </si>
  <si>
    <t>Kế hoạch vốn ngân sách nhà nước năm 2024</t>
  </si>
  <si>
    <t>CHI TIẾT TÌNH HÌNH THỰC HIỆN KẾ HOẠCH ĐẦU TƯ CÔNG NĂM 2024
VÀ DỰ KIẾN KẾ HOẠCH ĐẦU TƯ CÔNG NĂM 2025 VỐN NGÂN SÁCH ĐỊA PHƯƠNG DO CẤP TỈNH QUẢN LÝ</t>
  </si>
  <si>
    <t>CHI TIẾT TÌNH HÌNH THỰC HIỆN KẾ HOẠCH ĐẦU TƯ CÔNG NĂM 2024 VÀ DỰ KIẾN KẾ HOẠCH ĐẦU TƯ CÔNG NĂM 2025 VỐN TỪ NGUỒN THU HỢP PHÁP CỦA CÁC CƠ QUAN NHÀ NƯỚC,  ĐƠN VỊ SỰ NGHIỆP CÔNG LẬP DÀNH ĐỂ ĐẦU TƯ THEO QUY ĐỊNH CỦA PHÁP LUẬT</t>
  </si>
  <si>
    <t>KẾT QUẢ SỬ DỤNG, GIẢI NGÂN VỐN NGÂN SÁCH NHÀ NƯỚC THỰC HIỆN CÁC CHƯƠNG TRÌNH MỤC TIÊU QUỐC GIA, ĐỀ XUẤT NĂM 2025</t>
  </si>
  <si>
    <t>Dự án thành phần/nội dung hoạt động</t>
  </si>
  <si>
    <t>Kế hoạch nguồn vốn giai đoạn 2021-2025 được cấp thẩm quyền giao, thông báo</t>
  </si>
  <si>
    <t>Kế quả bố trí, sử dụng, giải ngân dự toán, kế hoạch vốn các chương trình dến năm 2024</t>
  </si>
  <si>
    <t>Dự kiến nhu cầu năm 2025</t>
  </si>
  <si>
    <t>Kế hoạch dự toán vốn CTMTQG giai đoạn 2021-2023</t>
  </si>
  <si>
    <t>Kế quả thực hiện kế hoạch vốn năm 2024</t>
  </si>
  <si>
    <t>Tổng cộng giai đoạn 2021-2023</t>
  </si>
  <si>
    <t>Đã giải ngân đến hết 31/01/2024</t>
  </si>
  <si>
    <t>Đã làm thủ tục kéo dài thời gian thực hiện sang năm 2024 theo quy định tại các Nghị quyết số  104/2023/QH15</t>
  </si>
  <si>
    <t>Kết quả giải ngân đã làm thủ tục kéo dài thời gian thực hiện sang năm 2024 trong 6 tháng đầu năm 2024</t>
  </si>
  <si>
    <t>Tổng cộng năm 2024</t>
  </si>
  <si>
    <t>Kết quả giải ngân 6 tháng đầu năm</t>
  </si>
  <si>
    <t>Tổng nhu cầu</t>
  </si>
  <si>
    <t>Trong đó</t>
  </si>
  <si>
    <t>Kế hoạch vốn nguồn NSNN</t>
  </si>
  <si>
    <t>Thông báo vốn SN</t>
  </si>
  <si>
    <t>NSNN</t>
  </si>
  <si>
    <t xml:space="preserve">Tổng </t>
  </si>
  <si>
    <t>ĐTPT</t>
  </si>
  <si>
    <t>SN</t>
  </si>
  <si>
    <t>Trung ương</t>
  </si>
  <si>
    <t>Ngoài nước</t>
  </si>
  <si>
    <t>Trong nước</t>
  </si>
  <si>
    <t>TỔNG CỘNG</t>
  </si>
  <si>
    <t xml:space="preserve">CTMTQG ..... </t>
  </si>
  <si>
    <t>Dự án thành phần/nội dung hoạt động.....</t>
  </si>
  <si>
    <t>Tiểu dự án/nội dung hoạt động</t>
  </si>
  <si>
    <t>Phụ lục V</t>
  </si>
  <si>
    <r>
      <rPr>
        <i/>
        <sz val="14"/>
        <rFont val="Times New Roman"/>
        <family val="1"/>
      </rPr>
      <t>Ghi chú:</t>
    </r>
  </si>
  <si>
    <r>
      <rPr>
        <i/>
        <sz val="14"/>
        <rFont val="Times New Roman"/>
        <family val="1"/>
      </rPr>
      <t>(I): Tên Chương trình mục tiêu quốc gia.</t>
    </r>
  </si>
  <si>
    <t>Kế hạch vốn ngân sách nhà nước năm 2024</t>
  </si>
  <si>
    <r>
      <t xml:space="preserve">Chương trình MTQG ... </t>
    </r>
    <r>
      <rPr>
        <b/>
        <vertAlign val="superscript"/>
        <sz val="14"/>
        <rFont val="Times New Roman"/>
        <family val="1"/>
      </rPr>
      <t>(1)</t>
    </r>
  </si>
  <si>
    <t>Dự án Xây dựng Cầu Tôn Đức Thắng (kết nối từ thành phố Long Xuyên và huyện Chợ Mới với cồn Mỹ Hòa Hưng, quê hương Bác Tôn)</t>
  </si>
  <si>
    <t>CM-LX</t>
  </si>
  <si>
    <t>9,40 km</t>
  </si>
  <si>
    <t>Dự án Xây dựng Cầu Tân Châu – Hồng Ngự</t>
  </si>
  <si>
    <t>AG-ĐT</t>
  </si>
  <si>
    <t>17,20 km</t>
  </si>
  <si>
    <t>Dự án Tuyến nối từ điểm đầu đường cao tốc Châu Đốc - Cần thơ - Sóc Trăng đến Cửa khẩu Tịnh Biên và điểm đầu đường cao tốc đến điểm đầu Quốc lộ 91C đi cửa khẩu Khánh Bình</t>
  </si>
  <si>
    <t>CĐ -TB</t>
  </si>
  <si>
    <t>24 km</t>
  </si>
  <si>
    <t>Tuyến đường tránh Quốc lộ 91 qua đô thị Cái Dầu – Vĩnh Thạnh Trung</t>
  </si>
  <si>
    <t>CP</t>
  </si>
  <si>
    <t>11 km</t>
  </si>
  <si>
    <t>Dự án Xây dựng tuyến đường liên kết vùng, đoạn từ thị xã Tân Châu đến thành phố Châu Đốc, kết nối tỉnh Kiên Giang và Đồng Tháp</t>
  </si>
  <si>
    <t xml:space="preserve">CĐ-TC </t>
  </si>
  <si>
    <t xml:space="preserve">20,96km </t>
  </si>
  <si>
    <t>2021-
2024</t>
  </si>
  <si>
    <t xml:space="preserve">1761/QĐ-UBND 29/7/2021; 1003/QĐ-UBND 13/5/2022 </t>
  </si>
  <si>
    <t>Dự án Nâng cấp, mở rộng đường vào Khu di tích đặc biệt Óc Eo – Ba Thê thuộc Đường tỉnh 943 (đoạn từ cầu Thoại Giang đến cầu Mướp Văn)</t>
  </si>
  <si>
    <t>TS</t>
  </si>
  <si>
    <t>14,77 km</t>
  </si>
  <si>
    <t>2022 - 2025</t>
  </si>
  <si>
    <t>2913/QĐ-UBND 02/12/2022</t>
  </si>
  <si>
    <t>Dự án Nâng cấp, mở rộng Đường tỉnh 941 (đoạn từ cầu số 16 đến ngã 3 giao nhau giữa đường 3 tháng 2 và đường Hùng Vương)</t>
  </si>
  <si>
    <t xml:space="preserve">TT </t>
  </si>
  <si>
    <t>1km</t>
  </si>
  <si>
    <t>2021-
2023</t>
  </si>
  <si>
    <t xml:space="preserve">2733/QĐ-UBND
17/11/2021 ; 587/QĐ-UBND
24/3/2022 </t>
  </si>
  <si>
    <t>Dự án Cầu Phú Vĩnh</t>
  </si>
  <si>
    <t>TS,CT</t>
  </si>
  <si>
    <t>109,54m</t>
  </si>
  <si>
    <t>2022-2024</t>
  </si>
  <si>
    <t>2624/QĐ-UBND  27/10/2022</t>
  </si>
  <si>
    <t>Dự án Nâng cấp Đường tỉnh 949</t>
  </si>
  <si>
    <t xml:space="preserve">TB-TT </t>
  </si>
  <si>
    <t>18,705km</t>
  </si>
  <si>
    <t>2020- 2024</t>
  </si>
  <si>
    <t xml:space="preserve">1103/QĐ-UBND
26/5/2021 </t>
  </si>
  <si>
    <t>CĐ, CP, CT, ST</t>
  </si>
  <si>
    <t>57,014 km</t>
  </si>
  <si>
    <t>2022 - 2027</t>
  </si>
  <si>
    <t>222/QĐ-UBND 28/02/2023</t>
  </si>
  <si>
    <t>LĨNH VỰC GIAO THÔNG</t>
  </si>
  <si>
    <t>Xây dựng hệ thống hồ trữ ngọt gắn với hạ tầng thủy lợi phục vụ liên kết sản xuất tiểu vùng tứ giác Long Xuyên</t>
  </si>
  <si>
    <t>TB, TT</t>
  </si>
  <si>
    <t>Đảm bảo tưới tiêu 13.850 ha, và hạ tầng phục vụ tái cơ cấu NN</t>
  </si>
  <si>
    <t>Xây dựng hệ thống thủy lợi vùng cao thích ứng với biến đổi khí hậu nhằm phục vụ tái cơ cấu sản xuất nông nghiệp cho đồng bào vùng Bảy Núi, tỉnh An Giang.</t>
  </si>
  <si>
    <t>03 hồ</t>
  </si>
  <si>
    <t>2018-2024</t>
  </si>
  <si>
    <t>2696/QĐ-UBND 29/10/2018; 2519/QĐ-UBND 18/10/2019; 2387/QĐ-UBND 18/10/2021; 80/QĐ-UBND 14/01/2022</t>
  </si>
  <si>
    <t>Dự án Kè quản lý khu đất bãi bồi tiếp giáp Khu lưu niệm Chủ tịch Tôn Đức Thắng</t>
  </si>
  <si>
    <t>LX</t>
  </si>
  <si>
    <t>380m</t>
  </si>
  <si>
    <t>2021-2023</t>
  </si>
  <si>
    <t>977/QĐ-UBND 12/5/2022</t>
  </si>
  <si>
    <t>Nâng cấp đường Lê Trọng Tấn (đoạn từ cầu Tầm Bót đến đường Phạm Cự Lượng)</t>
  </si>
  <si>
    <t>P. MP, MQ</t>
  </si>
  <si>
    <t>801m + cầu</t>
  </si>
  <si>
    <t>2022-2025</t>
  </si>
  <si>
    <t>2722/QĐ-UBND ngày 17/11/21; 2597/QĐ-UBND ngày 25/10/22</t>
  </si>
  <si>
    <t>Dự án nghiệm thu có điều kiện ngày 03/02/2024 (phần mặt bằng sạch).</t>
  </si>
  <si>
    <t>Đường Nguyễn Văn Linh (đoạn từ đường Nguyễn Văn Linh hiện hữu đến đường tránh thành phố Long Xuyên)</t>
  </si>
  <si>
    <t>420m</t>
  </si>
  <si>
    <t>2596/QĐ-UBND ngày 25/10/22</t>
  </si>
  <si>
    <t>Đã duyệt TKBVTC-DT, đang chờ GPMB. Vốn năm 2025 đề nghị cho CPXD NST hỗ trợ theo cơ cấu dự án được duyệt.</t>
  </si>
  <si>
    <t>Đường Phạm Văn Đồng (đoạn từ Nguyễn Hữu Tiến đến hết ranh Trụ sở Công an tỉnh)</t>
  </si>
  <si>
    <t>P.ĐX</t>
  </si>
  <si>
    <t>460m</t>
  </si>
  <si>
    <t>25-27</t>
  </si>
  <si>
    <t>Dự án được UBND tỉnh chấp thuận đầu tư tại Văn bản số 824/VPUBND-KTTH ngày 27/02/2024. Vốn năm 2025 đề nghị để thực hiện một phần dự án năm 2025, phần còn lại thực hiện giai đoạn 2026 - 2030.</t>
  </si>
  <si>
    <t>Nâng cấp đường Nguyễn Văn Linh (đoạn từ Ung Văn Khiêm đến điểm cuối Nguyễn Văn Linh hiện hữu)</t>
  </si>
  <si>
    <t>P. MP</t>
  </si>
  <si>
    <t>1.340m</t>
  </si>
  <si>
    <t>24-26</t>
  </si>
  <si>
    <t>Đường Lê Trọng Tấn (đoạn tiếp giáp điểm cuối Lê Trọng Tấn đang thi công đến đường Nguyễn Hữu Tiến hiện trạng)</t>
  </si>
  <si>
    <t>280m</t>
  </si>
  <si>
    <t>Dự án được UBND tỉnh chấp thuận đầu tư giai đoạn 2024 - 2026 tại Văn bản số 1684/VPUBND-KTN ngày 04/4/2023. Vốn năm 2025 đề nghị cho 30%CPXD.</t>
  </si>
  <si>
    <t>Nút giao đường Phạm Cự Lượng</t>
  </si>
  <si>
    <t>600m</t>
  </si>
  <si>
    <t>24-27</t>
  </si>
  <si>
    <t>Đang trình UBND tỉnh chấp thuận chủ trương CBĐT năm 2024 - 2025; THĐT: 2025 - 2027. Vốn năm 2025 đề nghị cho CP CBĐT.</t>
  </si>
  <si>
    <t>Dự án thành phần 1 thuộc dự án đường bộ cao tốc Châu Đốc - Cần Thơ - Sóc Trăng giai đoạn 1</t>
  </si>
  <si>
    <t>GIÁO DỤC, ĐÀO TẠO VÀ GIÁO DỤC NGHỀ NGHIỆP</t>
  </si>
  <si>
    <t>Đầu tư cơ sở vật chất, thiết bị dạy học phục vụ Chương trình giáo dục phổ thông mới giai đoạn 2021-2025 thành phố Long Xuyên</t>
  </si>
  <si>
    <t>TPLX</t>
  </si>
  <si>
    <t>XD + Ctạo p.học và p.TH, bs t.bị.</t>
  </si>
  <si>
    <t>2751/QĐ-UBND ngày 11/11/22</t>
  </si>
  <si>
    <t>Công trình đang thi công, hoàn thành tháng 8/2024.</t>
  </si>
  <si>
    <t>Trường MG Họa Mi (điểm chính)</t>
  </si>
  <si>
    <t>12P + HCQT + Các P.CN + khối phụ trợ + HTKT + TB</t>
  </si>
  <si>
    <t>2024-2026</t>
  </si>
  <si>
    <t>2834/QĐ-UBND ngày 22/11/22</t>
  </si>
  <si>
    <t>Công trình đang thi công, hoàn thành tháng 12/2024.</t>
  </si>
  <si>
    <t>LĨNH VỰC NÔNG NGHIỆP, LÂM NGHIỆP, DIÊM NGHIỆP, THỦY LỢI VÀ THỦY SẢN</t>
  </si>
  <si>
    <t>Kè chống sạt lở bờ sông Hậu bảo vệ thành phố Long Xuyên (đoạn cầu Nguyễn Thái Học)</t>
  </si>
  <si>
    <t>P. MH</t>
  </si>
  <si>
    <t>220m</t>
  </si>
  <si>
    <t>Đang trình UBND tỉnh chấp thuận chủ trương CBĐT năm 2024 - 2025; THĐT: 2026 - 2028. Vốn đề nghị cho CPTV.</t>
  </si>
  <si>
    <t>Kè đường Nguyễn Thanh Sơn, phường Bình Khánh và kè đường Ngô Quyền, phường Mỹ Bình, thành phố Long Xuyên (Kè đường Nguyễn Thanh Sơn, phường Bình Khánh (giai đoạn 1))</t>
  </si>
  <si>
    <t>P.MB</t>
  </si>
  <si>
    <t>100m</t>
  </si>
  <si>
    <t>24-25</t>
  </si>
  <si>
    <t>Đang trình UBND tỉnh chấp thuận chủ trương CBĐT năm 2024; THĐT: 2024 - 2025. Vốn đề nghị để thực hiện dự án.</t>
  </si>
  <si>
    <t>LĨNH VỰC DU LỊCH</t>
  </si>
  <si>
    <t>Trung tâm hội nghị thành phố Châu Đốc</t>
  </si>
  <si>
    <t>CĐ</t>
  </si>
  <si>
    <t>2023-2026</t>
  </si>
  <si>
    <t>275/QĐ-UBND 26/02/2024 (điều chỉnh)</t>
  </si>
  <si>
    <t>Xây dựng bến tàu du lịch Châu Đốc</t>
  </si>
  <si>
    <t>2700m2</t>
  </si>
  <si>
    <t>2130/QĐ-UBND 15/9/2021</t>
  </si>
  <si>
    <t>Dự án đầu tư xây dựng cải tạo, sửa chữa nhà vệ sinh và công trình nước sạch cho các trường trên địa bàn thành phố Châu Đốc giai đoạn 2021-2025</t>
  </si>
  <si>
    <t>C.tạo p.TH + t.bị các điểm trường</t>
  </si>
  <si>
    <t>2023-2025</t>
  </si>
  <si>
    <t>352/QĐ-SXD 01/8/2023</t>
  </si>
  <si>
    <t>Đường đê Kênh Hòa Bình</t>
  </si>
  <si>
    <t>1220m</t>
  </si>
  <si>
    <t>2021-2024</t>
  </si>
  <si>
    <t>2971/QĐ-UBND 18/12/2020; 161/QĐ-UBND 15/02/2023; 1013/QĐ-UBND 29/6/2023</t>
  </si>
  <si>
    <t>Đề án mua sắm thiết bị phòng học bộ môn  Ngoại ngữ cho cấp tiểu học và trung học  trên địa bàn tỉnh An Giang gd 2021-2025</t>
  </si>
  <si>
    <t>Toàn 
tỉnh</t>
  </si>
  <si>
    <t>96 phòng
 học
 bộ môn</t>
  </si>
  <si>
    <t>22-25</t>
  </si>
  <si>
    <t>109/QĐ-SKHĐT, 
11/11/2021</t>
  </si>
  <si>
    <t xml:space="preserve">Trường MG TT Óc Eo Điểm lẽ (ấp Trung Sơn) </t>
  </si>
  <si>
    <t>TTOE</t>
  </si>
  <si>
    <t>XDM: KHB và PCN, 02PH; CT: 06 PH,  NVSHS, NVSGV, HTKT;  TB BS</t>
  </si>
  <si>
    <t>498/QĐ-SXD ngày 15/11/2021</t>
  </si>
  <si>
    <t>Trường MG TT Phú Hòa Điểm chính (ấp Phú Hữu)</t>
  </si>
  <si>
    <t>TTPH</t>
  </si>
  <si>
    <t>XDM: 08PH, HCQT, PVHT, NB, NA, CHR, NBV, Sân đan, TN, vườn, CC, NX; TB BS</t>
  </si>
  <si>
    <t>2740/QĐ-UBND ngày 17/11/2021 và 2375/QĐ-UBND ngày 27/9/2022</t>
  </si>
  <si>
    <t>Dự án ĐTXD cải tạo, sửa chữa nhà vệ sinh và công trình nước sạch cho các trường trên địa bàn huyện Thoại Sơn giai đoạn 2021 - 2025</t>
  </si>
  <si>
    <t>CT NVS</t>
  </si>
  <si>
    <t>1523/QĐ-UBND ngày 20/9/2023</t>
  </si>
  <si>
    <t>Trường tiểu học B Định Mỹ Điểm chính (ấp Mỹ Phú)</t>
  </si>
  <si>
    <t>Trường tiểu học A Vĩnh Khánh Điểm chính (ấp Vĩnh Lợi)</t>
  </si>
  <si>
    <t>Trường tiểu học A Vĩnh Chánh Điểm chính (ấp Đông An)</t>
  </si>
  <si>
    <t>Trường tiểu học B Vĩnh Phú Điểm chính (ấp Trung Phú 3)</t>
  </si>
  <si>
    <t>ĐM</t>
  </si>
  <si>
    <t>CT: 10PH, PNN, PTB, PTT-HĐĐ, PHT, PPHT, PYT, NVSHS, NVSGV, HTKT, TB; XDM: PGDTC, PKHCN, PTH, PTV, PGDNT, Kho, VP, PHĐGV, NBV, NVSHS, NXGV, NXHS, TB</t>
  </si>
  <si>
    <t>54/QĐ-UBND ngày 12/01/2023</t>
  </si>
  <si>
    <t>VK</t>
  </si>
  <si>
    <t>CT: 10PH, NVSHS, TB; XDM 07PH, PNN, PGDTC, PGDNT, PKHCN, PTN, PTV, PTB, Kho, PTT-HĐĐ, PHT, PPHT, VP, PHĐGV, PYT, NBV, NVSHS, NXHS, NXGV, HTKT, TB</t>
  </si>
  <si>
    <t>100/QĐ-UBND ngày 02/02/2023</t>
  </si>
  <si>
    <t>VC</t>
  </si>
  <si>
    <t>CT: 10PH; NBV, NVSHS, HTKT; XDM: PNN, PGDTC, PKHCN, PTH, PTV, PTB, PGDNT, PTT-HĐĐ, Kho, PHT, PPHT, VP, PHĐGV, PYT, NVSGV, NVSHS, NXGV, NXHS</t>
  </si>
  <si>
    <t>2987/QĐ-UBND ngày 09/12/2022</t>
  </si>
  <si>
    <t>VP</t>
  </si>
  <si>
    <t>CT: 11PH, PNN, PGDTC, NVSHS, HTKT, TB; XDM: PKHCN, PTN, PTV, PTB, PGDNT, PTT-HĐĐ, Kho, PHT, PPHT, VP, PHĐGV, PYT, NBV, NVSHS, NVSGV, NXHS, NXGV, TB; Mua dất 1000m2</t>
  </si>
  <si>
    <t>3042/QĐ-UBND ngày 15/12/2022</t>
  </si>
  <si>
    <t>Đầu tư cơ sở vật chất, thiết bị dạy học phục vụ Chương trình giáo dục phổ thông mới giai đoạn 2021 - 2025 huyện Thoại Sơn</t>
  </si>
  <si>
    <t>Trường THCS thị trấn Phú Hòa</t>
  </si>
  <si>
    <t>Trường THCS thị trấn Núi Sập</t>
  </si>
  <si>
    <t>XDM và CT PH, PTH; TB bổ sung</t>
  </si>
  <si>
    <t>15.345m2; XDM: 32PH; Khối PVHT, HCQT; CT phụ trợ; HTKT, TB</t>
  </si>
  <si>
    <t>2024-2027</t>
  </si>
  <si>
    <t>TTNS</t>
  </si>
  <si>
    <t>16.292m2; 27PH; Khối HCQT, PVHT; CT phụ trợ; HTKT, TB</t>
  </si>
  <si>
    <t>LĨNH VỰC VĂN HÓA, THÔNG TIN</t>
  </si>
  <si>
    <t>Cải tạo chùa Vĩnh Hòa</t>
  </si>
  <si>
    <t>Di tích Đá Nổi</t>
  </si>
  <si>
    <t>VTr</t>
  </si>
  <si>
    <t>CT: Khối chính điện, hỏa đướng, gạch nền</t>
  </si>
  <si>
    <t>280/QĐ-UBND 27/02/2024</t>
  </si>
  <si>
    <t>PT</t>
  </si>
  <si>
    <t>Bồi thường và Xây dựng Đền chính, Hạ tầng kỹ thuật, công trình phụ trợ</t>
  </si>
  <si>
    <t>281/QĐ-UBND 27/02/2024</t>
  </si>
  <si>
    <t>Tuyến đường kênh E</t>
  </si>
  <si>
    <t>1700m x 13m; mặt 7m</t>
  </si>
  <si>
    <t>1453/QĐ-UBND ngày 11/9/2023 và 2178/QĐ-UBND ngày 29/12/2023</t>
  </si>
  <si>
    <t>Mua sắm trang thiết bị phục vụ cho sản xuất kinh doanh theo chuỗi liên kết sản xuất tại hợp tác xã nông nghiệp Tây Phú</t>
  </si>
  <si>
    <t>TP</t>
  </si>
  <si>
    <t>Mua sắm thiết bị</t>
  </si>
  <si>
    <t>133/QĐ-SKHĐT ngày 12/12/2023</t>
  </si>
  <si>
    <t>CÁC HOẠT ĐỘNG KINH TẾ</t>
  </si>
  <si>
    <t>D</t>
  </si>
  <si>
    <t>LĨNH VỰC HOẠT ĐỘNG CỦA CÁC CƠ QUAN QUẢN LÝ NHÀ NƯỚC, ĐVSNCL, TCCT VÀ CÁC TỔ CHỨC CT-XH</t>
  </si>
  <si>
    <t xml:space="preserve">phường Núi Sam, thành phố Châu Đốc </t>
  </si>
  <si>
    <t>1.065m2</t>
  </si>
  <si>
    <t>2025-2028</t>
  </si>
  <si>
    <t>- Quỹ đất: 16 tỷ đồng
- Chi phí xây dựng: 10.117,5 tỷ đồng  
- Chi phí trang thiết bị: 1,909 tỷ</t>
  </si>
  <si>
    <t xml:space="preserve">Dự án trụ sở Ban Quản lý Khu du lịch quốc gia Núi Sam </t>
  </si>
  <si>
    <t>Tạo quỹ đất đầu tư xây dựng Trại tạm giam Công an tỉnh</t>
  </si>
  <si>
    <t>90.078,3m2</t>
  </si>
  <si>
    <t>34/QĐ-SKHĐT 05/04/2023</t>
  </si>
  <si>
    <t>Theo Dự toán (dự thảo) PABT đang niêm yết công khai lấy ý kiến người dân thì tổng giá trị dự toán là 83,118 tỷ (bao gồm dự phòng), chi phí cho hội đồng tổ chức bồi thường GPMB 2% PABT là khoảng 1,662 tỷ, và dự kiến chi khen thưởng, chi bổ sung PABT (nếu có), vì vậy với KH vốn năm 2024 đã đủ để chi trả chi phí GPMB theo dự thảo dự toán PABT.</t>
  </si>
  <si>
    <t>Đầu tư xây dựng trụ sở công an xã, thị trấn trên địa bàn tỉnh An Giang</t>
  </si>
  <si>
    <t>Toàn tỉnh</t>
  </si>
  <si>
    <t xml:space="preserve">Cải tạo, mở rộng và XD mới 27 trụ sở </t>
  </si>
  <si>
    <t>1060/QĐ-UBND 04/07/2023</t>
  </si>
  <si>
    <t>Đã điều chỉnh chủ đầu tư sang Công an (VB số 1839/VPUBND-KTTH ngày 15/04/2024).</t>
  </si>
  <si>
    <t>LĨNH VỰC AN NINH VÀ TRẬT TỰ, AN TOÀN XÃ HỘI</t>
  </si>
  <si>
    <t>Dự án Trường THCS và THPT Phú Tân</t>
  </si>
  <si>
    <t xml:space="preserve">Xây dựng 10 phòng học + 18 xí VSHS + PCCC </t>
  </si>
  <si>
    <t>- Chuẩn bị đầu tư năm 2025 
Thực hiện dự án năm 2026 – 2028.</t>
  </si>
  <si>
    <t>Dự án: Trường THPT Nguyễn Quang Diêu</t>
  </si>
  <si>
    <t>TC</t>
  </si>
  <si>
    <t xml:space="preserve">Xây dựng mới 06 phòng học + 10 xí VSHS;
+ Hệ thống PCCC; Thiết bị đồng bộ cho 06 phòng học
</t>
  </si>
  <si>
    <t>Chuẩn bị đầu tư năm 2025; Thực hiện đầu tư năm 2026-2028</t>
  </si>
  <si>
    <t>Dự án: Trường THPT Hòa Lạc</t>
  </si>
  <si>
    <t>Trường THCS - THPT Mỹ Hòa Hưng</t>
  </si>
  <si>
    <t>Long Xuyên</t>
  </si>
  <si>
    <t xml:space="preserve">08 phòng + 14 xí VSHS + bổ sung PCCC </t>
  </si>
  <si>
    <t>2025 - 2028</t>
  </si>
  <si>
    <t>Trường THPT Nguyễn Hiền</t>
  </si>
  <si>
    <t xml:space="preserve">09 phòng + 16 xí VSHS + PCCC </t>
  </si>
  <si>
    <t>Trường THPT An Phú</t>
  </si>
  <si>
    <t>AP</t>
  </si>
  <si>
    <t>Xây mới 08 phòng học, 14 NVS, TB dạy học</t>
  </si>
  <si>
    <t>2025-2027</t>
  </si>
  <si>
    <t>Dự án 1: Mua sắm thiết bị dạy học tối thiểu khối THCS, THPT và một phần thiết bị dạy học tối thiểu khối TH</t>
  </si>
  <si>
    <t>2024 - 2025</t>
  </si>
  <si>
    <t>Bổ sung dự án mới chuẩn bị đầu tư và thực hiện đầu tư 2024-2025</t>
  </si>
  <si>
    <t>Dự án 2: Mua sắm một phần thiết bị dạy học tối thiểu khối TH</t>
  </si>
  <si>
    <t>Nâng cấp, mở rộng trường Trung cấp nghề Châu Đốc</t>
  </si>
  <si>
    <t>26,869,2m2</t>
  </si>
  <si>
    <t>2021-2025</t>
  </si>
  <si>
    <t xml:space="preserve">2318/QĐ-UBND 01/8/2017; 2163/QĐ-UBND 10/9/2019; 3084/QĐ-UB 27/12/2021; 607/QĐ-UB 11/4/2024; </t>
  </si>
  <si>
    <t>Cải tạo, xây dựng mới một số hạng mục thuộc Trường Cao đẳng y tế An Giang</t>
  </si>
  <si>
    <t>Cải tạo, XD mới, HTKT</t>
  </si>
  <si>
    <t xml:space="preserve">912/QĐ-UBND 05/5/2022
và 1007/QĐ-UBND ngày 28/6/2023 </t>
  </si>
  <si>
    <t>Dự án hoàn thành trong năm 2024. 
Đề nghị bổ sung KHV năm 2024 (6 tháng cuối năm) thêm 9,705 tỷ, để thanh toán khối lượng hoàn thành cho: gói thầu thiết bị số 08, chi phí QLDA, chi phí kiểm tra công tác NTHT, chi phí GSTG, chi phí giám sát thiết bị và chi phí thẩm tra phê duyệt quyết toán dự án</t>
  </si>
  <si>
    <t>THPT Vọng Thê</t>
  </si>
  <si>
    <t>10.525,69m2</t>
  </si>
  <si>
    <t>1275/QĐ-UBND 24/6/2022</t>
  </si>
  <si>
    <t>Đề nghị bổ sung KHV năm 2024 cho 06 tháng cuối năm 2024: 1,177 tỷ đồng để thanh toán khối lượng hoàn thành gói thầu xây lắp, gói thầu cung cấp lắp đặt thiết bị và các chi phí tư vấn để hoàn thành, kết thúc dự án trong năm 2024. Hiện nay KHV trung hạn 2021-2025 đã được bố trí là 29,381 tỷ đồng là chưa đủ so với kế hoạch vốn trung hạn năm 2021-2025 là 30,558 tỷ đồng đã được phê duyệt tại Nghị quyết số 01/NQ-HĐND ngày 30/03/2023</t>
  </si>
  <si>
    <t>Trường THPT Vĩnh Xương</t>
  </si>
  <si>
    <t>9.175,72m2</t>
  </si>
  <si>
    <t>2475/QĐ-UBND 06/10/2022; 773/QĐ-UBND 13/05/2024</t>
  </si>
  <si>
    <t>Kết thúc dự án năm 2024</t>
  </si>
  <si>
    <t>Dự án ĐTXD cải tạo, sửa chữa nhà vệ sinh và công trình nước sạch cho các trường trung học phổ thông trên địa bàn tỉnh giai đoạn 2021-2025</t>
  </si>
  <si>
    <t>CP, TP CĐ, TX TC, PT, CT, CM, TS</t>
  </si>
  <si>
    <t>Xây dựng mới 78 xí HS và 6 xí GV</t>
  </si>
  <si>
    <t>CBĐT 2021-2022, THĐT 2023-2026</t>
  </si>
  <si>
    <t>23/QĐ-SXD ngày 10/01/2023</t>
  </si>
  <si>
    <t>Dự án hoàn thành trong năm 2024</t>
  </si>
  <si>
    <t>16</t>
  </si>
  <si>
    <t>Trường THPT Nguyễn Bỉnh Khiêm</t>
  </si>
  <si>
    <t>CT</t>
  </si>
  <si>
    <t>Xây mới: 06 PH, khối phòng bộ môn, HCQT; Cải tạo: 30PH, 06PHBM, HTKT</t>
  </si>
  <si>
    <t>2021 (CBĐT); 2023-2026</t>
  </si>
  <si>
    <t>1011/QĐ-UBND 28/6/2023</t>
  </si>
  <si>
    <t>Đã xin điều chỉnh trung hạn giai đoạn 2021-2025 là : 44.073 Triệu đồng</t>
  </si>
  <si>
    <t>17</t>
  </si>
  <si>
    <t>Trường THPT Huỳnh Thị Hưởng</t>
  </si>
  <si>
    <t>CM</t>
  </si>
  <si>
    <t>23 phòng</t>
  </si>
  <si>
    <t>3306/QĐ-UBND 31/12/2021</t>
  </si>
  <si>
    <t>Trường THPT Vĩnh Bình</t>
  </si>
  <si>
    <t>9521,4m2</t>
  </si>
  <si>
    <t>2376/QĐ-UBND 27/9/2022</t>
  </si>
  <si>
    <t>Trường THPT Võ Thành Trinh</t>
  </si>
  <si>
    <t>DT đất 12.875 m2</t>
  </si>
  <si>
    <t xml:space="preserve"> 2024-2026</t>
  </si>
  <si>
    <t>2307/QĐ-UBND 08/10/2021; 2792/QĐ-UBND 22/11/2021</t>
  </si>
  <si>
    <t xml:space="preserve">Trường THPT Lương Văn Cù </t>
  </si>
  <si>
    <t xml:space="preserve">Khối học tập, hỗ trợ học tập, các công trình phụ trợ, Cải tạo 18PH, HTKT, TTB </t>
  </si>
  <si>
    <t xml:space="preserve"> THĐT 2024-2026</t>
  </si>
  <si>
    <t>2029/QĐ-UBND 01/9/2021; 2715/QĐ-UBND 17/11/2021</t>
  </si>
  <si>
    <t>Trường THPT Cần Đăng</t>
  </si>
  <si>
    <t>Xây dựng mới:
phòng tổ chức Đảng và đoàn thể, một số phòng thuộc khối phòng học tập, một số
phòng thuộc khối phòng hỗ trợ học tập, một số hạng mục khối phụ trợ, công trình
nước sạch; Cải tạo: 18 phòng học, một số phòng thuộc khối phòng hành chính
quản trị, một số phòng thuộc khối phòng học tập, một số phòng thuộc khối phòng
hỗ trợ học tập, một số hạng mục khối phụ trợ, hạ tầng kỹ thuật; Thiết bị</t>
  </si>
  <si>
    <t>CBĐT 2023, THĐT 2024-2026</t>
  </si>
  <si>
    <t>2647/QĐ-UBND 10/11/2021;
1578/QĐ-UBND 02/10/2023</t>
  </si>
  <si>
    <t>Vốn năm 2023 kéo dài qua năm 2024</t>
  </si>
  <si>
    <t>Xây dựng 08 phòng học và thiết bị công trình Trường trung học phổ thông Chi Lăng</t>
  </si>
  <si>
    <t>TB</t>
  </si>
  <si>
    <t>Diện tích sàn1.133,3m2; quy mô một trệt một lầu:</t>
  </si>
  <si>
    <t>Cải tạo, nâng cấp, mua sắm thiết bị Trường trung học phổ thông chuyên Thoại Ngọc Hầu</t>
  </si>
  <si>
    <t>C.tạo: P.họp, t.bị, hành lang, khối nhà đa năng.</t>
  </si>
  <si>
    <t>2024-2025</t>
  </si>
  <si>
    <t>102/QĐ-SXD ngày 06/3/2024</t>
  </si>
  <si>
    <t>Đã làm đề nghị xin vốn ứng trước</t>
  </si>
  <si>
    <t>Cải tạo, sửa chữa Trường THPT Thạnh Mỹ Tây</t>
  </si>
  <si>
    <t>Cải tạo khối
21 PH &amp;
Khu vệ sinh
HS</t>
  </si>
  <si>
    <t>2024-
2025</t>
  </si>
  <si>
    <t>Dự án kết thúc năm 2025</t>
  </si>
  <si>
    <t>Dự án Bổ sung trang thiết bị của Trường Chính trị Tôn Đức Thắng</t>
  </si>
  <si>
    <t>Xây dựng + thiết bị</t>
  </si>
  <si>
    <t>CBĐT 2023-2024, THĐT 2024-2025</t>
  </si>
  <si>
    <t>Quyết định số 832/QĐ-UBND ngày 22/5/2024</t>
  </si>
  <si>
    <t>Mở rộng Bệnh viện Tim mạch An Giang</t>
  </si>
  <si>
    <t>2024-2030</t>
  </si>
  <si>
    <t>Bệnh viện Y Học Cổ Truyền AG</t>
  </si>
  <si>
    <t>100 giường</t>
  </si>
  <si>
    <t>2019-2023</t>
  </si>
  <si>
    <t>2827/QĐ-UBND 22/9/2017; 348/QĐ-UBND 20/02/2020; 1936/QĐ-UBND 19/8/2021; 357/QĐ-UBND 11/03/2024</t>
  </si>
  <si>
    <t>Dự án hoàn thành năm 2024</t>
  </si>
  <si>
    <t xml:space="preserve"> Bệnh viện Sản - Nhi An Giang (Khối Nhi 200 giường)</t>
  </si>
  <si>
    <t>200 giường</t>
  </si>
  <si>
    <t xml:space="preserve"> 1610/QĐ-UBND
06/10/2023</t>
  </si>
  <si>
    <t>Xây dựng mới Khoa Xét nghiệm và Khoa Giải phẫu bệnh lý thuộc Bệnh viện đa khoa khu vực tỉnh</t>
  </si>
  <si>
    <t>Khối nhà chính; HTKT; TTB</t>
  </si>
  <si>
    <t>2741/QĐ-UBND 17/11/2021</t>
  </si>
  <si>
    <t>dự án kết thúc năm 2024</t>
  </si>
  <si>
    <t>Nâng cấp trang thiết bị y tế cho Bệnh viện Sản - Nhi An Giang</t>
  </si>
  <si>
    <t>TTB</t>
  </si>
  <si>
    <t>2022-2023</t>
  </si>
  <si>
    <t>1024a/QĐ-UBND 16/5/2022</t>
  </si>
  <si>
    <t>Bệnh viện Mắt -Tai Mũi Họng - Răng Hàm Mặt tỉnh An Giang</t>
  </si>
  <si>
    <t>150 giường</t>
  </si>
  <si>
    <t>3212/QĐ-UBND 30/12/2022; 991/QĐ-UBND 14/6/2024</t>
  </si>
  <si>
    <t>Ước khối lượng thực hiện năm 2025 là 100.000 triệu đồng</t>
  </si>
  <si>
    <t>Mở rộng Bệnh viện Tim mạch An Giang (giai đoạn 2)</t>
  </si>
  <si>
    <t>140 giường</t>
  </si>
  <si>
    <t>2797/QĐ-UBND 16/11/2022</t>
  </si>
  <si>
    <t>Dừng dự án và Dự án kết thúc năm 2024</t>
  </si>
  <si>
    <t>Dự án Phòng khám và quản lý sức khỏe cán bộ thuộc Ban Bảo vệ, chăm sóc sức khỏe cán bộ tỉnh</t>
  </si>
  <si>
    <t>852/QĐ-UBND ngày 24/05/2024</t>
  </si>
  <si>
    <t>LĨNH VỰC Y TẾ, DÂN SỐ VÀ GIA ĐÌNH</t>
  </si>
  <si>
    <t>E</t>
  </si>
  <si>
    <t>Nhà hát tỉnh An Giang</t>
  </si>
  <si>
    <t>20.000 m2</t>
  </si>
  <si>
    <t>đến hết năm 2025</t>
  </si>
  <si>
    <t>1765/QĐ-UBND 29/7/2021; 2345/QĐ-UBND 26/9/2019; 2457/QĐ-UBND 05/10/2022</t>
  </si>
  <si>
    <t xml:space="preserve">- Tháng 08 tạm ứng 30% gói thầu số 12A: 22.000 triệu đồng.
'- Tháng 10:  Thanh toán hoàn thành  KL ước 10%kl  (Đợt 01 đã thu hồi tạm ứng) Gói thầu số 12A: 4.657 triệu đồng; Thanh toán hoàn thành  KL ước 10%kl  (Đợt 01 đã thu hồi tạm ứng) Gói thầu số 21: 1.381 triệu đồng và Thanh toán Hoàn thành khối lượng gói thầu TV Giám sát (10% KL đã thu hồi tạm ứng): 63 triệu đồng.
+ Khởi công lại gói thầu số 21 và gói thầu số 23: Thanh toán tạm ứng 30% giá trị: 
'- Tháng 12: Thanh toán hoành thành KL ước 10% kl (Đợt 2)  gói thầu số 12A: 4.657 triệu đồng; Thanh toán hoàn thành  KL ước 15%kl  (Đợt 02 đã thu hồi tạm ứng) Gói thầu số 21: 2.525 triệu đồng và  Thanh toán Hoàn thành khối lượng gói thầu TV Giám sát (30% KL đã thu hồi tạm ứng): 148 triệu đồng.
'- Tháng 01: Thanh toán hoàn thành  KL ước 15%kl  (Đợt 03 đã thu hồi tạm ứng) Gói thầu số 21: 2.525 triệu đồng. </t>
  </si>
  <si>
    <t>Sửa chữa Nhà thiếu nhi tỉnh An Giang</t>
  </si>
  <si>
    <t>Cải tạo khối nhà đa năng, Xây mới trạm biến áp 160KVA</t>
  </si>
  <si>
    <t xml:space="preserve"> Số 56/QĐ-SXD ngày 29/01/2024</t>
  </si>
  <si>
    <t>Vốn năm 2024: Vốn ứng trước 3.500 trđ; Dự án kết thúc năm 2025</t>
  </si>
  <si>
    <t>Xây dựng hệ thống mái che bảo tồn các hố khảo cổ tại khu di tích Óc Eo – Ba Thê</t>
  </si>
  <si>
    <t>Thoại Sơn</t>
  </si>
  <si>
    <t>Xây mới hệ thống mái che, HTKT và hệ thống giám sát</t>
  </si>
  <si>
    <t>Ước thực hiện năm 2025 là: 17.092 triệu đồng. Trong đó:
-  Chuẩn bị đầu tư (từ nay đến hết tháng 01/2025): 476 triệu đồng.
- Thực hiện đầu tư (từ khi có QĐ phê duyệt KHLCNT giai đoạn THĐT đến khi thanh toán điểm dừng đợt 1 gói thầu thi công xây lắp): 16.616 triệu đồng.
* Đề nghị bổ sung KHV năm 2024 (6 tháng cuối năm) thêm 476 triệu đồng, để thanh toán các chi phí chuẩn bị đầu tư)</t>
  </si>
  <si>
    <t>Đường số 8 và số 15 thuộc Khu quy hoạch Bắc Hà Hoàng Hổ</t>
  </si>
  <si>
    <t>341,1m</t>
  </si>
  <si>
    <t>348/QĐ-SXD 05/8/2021; 341/QĐ-SXD 05/9/2022; 16/QĐ-SXD 10/01/2024</t>
  </si>
  <si>
    <t>Vốn KD2023 là 1.687 triệu đồng</t>
  </si>
  <si>
    <t>LĨNH VỰC BẢO VỆ MÔI TRƯỜNG</t>
  </si>
  <si>
    <t>Đ</t>
  </si>
  <si>
    <t>LĨNH VỰC CÔNG NGHỆ THÔNG TIN</t>
  </si>
  <si>
    <t>Tạo quỹ đất và đầu tư hạ tầng khu công nghệ thông tin tập trung tỉnh An Giang</t>
  </si>
  <si>
    <t>- Thu hồi GPMB 5,97216  ha
- Xây dựng hạng mục San lắp mặt bằng + hàng rào ranh dự án.</t>
  </si>
  <si>
    <t>1068/QĐ-UBND 23/5/2022</t>
  </si>
  <si>
    <t>Đã xin điều chỉnh chủ trương đầu tư tăng TMĐT của dự án lên 121,698 tỷ đồng, đang chờ cấp thẩm quyền thông qua.</t>
  </si>
  <si>
    <t>Đầu tư trang thiết bị văn phòng phục vụ ứng dụng công nghệ thông tin trong hoạt động Hội Liên hiệp phụ nữ các cấp trên địa bàn tỉnh</t>
  </si>
  <si>
    <t>Trên địa bàn tỉnh An Giang</t>
  </si>
  <si>
    <t>69/QĐ-SKHĐT ngày 22/6/2023</t>
  </si>
  <si>
    <t>KHV năm 2024 không được bố trí, tuy nhiên dự án được 
UBND tỉnh cho phép tạm ứng vốn theo QĐ số 419/UBND ngày 20/3/2024, giá trị tạm ứng 8.772 triệu đồng)</t>
  </si>
  <si>
    <t>Dự án chôn lấp hợp vệ sinh (09 bãi rác)</t>
  </si>
  <si>
    <t>7 huyện thị</t>
  </si>
  <si>
    <t>Xử lý 09 bải rác</t>
  </si>
  <si>
    <t>CBĐT 2024-2025, THĐT 2025-2027</t>
  </si>
  <si>
    <t>Dự án Đầu tư mới hạ tầng kỹ thuật Nhà máy xử lý CTRSH tại Khu liên hợp xử lý chất thải rắn Cụm Long Xuyên, huyện Châu Thành (1.000 tấn/ngày)</t>
  </si>
  <si>
    <t>Xử lý bải rác</t>
  </si>
  <si>
    <t>Xây dựng mới ô chôn lấp hợp vệ sinh số 3</t>
  </si>
  <si>
    <t>Xây dựng ô chôn lấp HVS</t>
  </si>
  <si>
    <t xml:space="preserve">Dự án Đầu tư mới hạ tầng kỹ thuật Nhà máy xử lý CTRSH tại Khu xử lý rác thải Phú Thạnh, Phú Tân (200 tấn/ngày) </t>
  </si>
  <si>
    <t>CBĐT 2023-2024, THĐT 2025-2027</t>
  </si>
  <si>
    <t>H</t>
  </si>
  <si>
    <t>Tạo quỹ đất xây dựng Trung tâm đào tạo huấn luyện và thi đấu thể dục thể thao tỉnh An Giang</t>
  </si>
  <si>
    <t>8,2195 ha</t>
  </si>
  <si>
    <t>- 33/QĐ-SKHĐT ngày 18/03/2022;
- 64/QĐ-SKHĐT ngày 25/05/2022;
- '08/QĐ-SKHĐT 15/01/2024</t>
  </si>
  <si>
    <t>KH đầu tư công trung hạn giai đoạn 2021-2025 đã giao đến thời điểm 30/06/2024 là 124,397 tỷ / 138,185 tỷ là chưa đủ thực hiện công tác GPMB theo QĐ phê duyệt PABT là 136,458 tỷ (bao gồm dự phòng), đề nghị bổ sung kế hoạch vốn 6 tháng cuối năm 2024 thêm 4,902 tỷ để dự kiến chi tiền còn lại theo PABT đã được duyệt (không bao gồm dự phòng) là 1,402 tỷ;  chi bổ sung PABT khoảng 1 tỷ, chi trả chi phí tổ chức GPMB khoản 2,5 tỷ</t>
  </si>
  <si>
    <t>Sân Vân động tỉnh An Giang</t>
  </si>
  <si>
    <t>- GPMB  9,403ha
- Xây dựng SVĐ 20.000 chỗ ngồi; TB; diện tích xây dựng 27.571,9 m2</t>
  </si>
  <si>
    <t>2249/QĐ-UBND 06/9/2022</t>
  </si>
  <si>
    <t>- Đã xin điều chỉnh chủ trương đầu tư dự án tăng TMĐT lên 546,663 tỷ đồng, điều chỉnh thời gian thực hiện dự án đến hết năm 2026, đang chờ cấp thẩm quyền thông qua.
- Dự kiến năm 2025 đấu thầu gói thi công khối khán đài + san lấp mặt bằng (với giá trị dự toán dự kiến khoản 218,6 tỷ), tạm ứng 30% HĐ là 65,580 tỷ; thanh toán chi phí QLDA khoảng 1 tỷ, các chi phí tư vấn có liên quan khoảng 1 tỷ.</t>
  </si>
  <si>
    <t>Đầu tư, nâng cấp, cải tạo trụ sở làm việc, kho lưu trữ của các Chi nhánh Văn phòng Đăng ký đất đai huyện, thị xã</t>
  </si>
  <si>
    <t>TT, CM, TS, CP, CT, TC, TB, PT, AP</t>
  </si>
  <si>
    <t>Nhà công vụ tỉnh</t>
  </si>
  <si>
    <t>36  căn hộ</t>
  </si>
  <si>
    <t>Thanh toán CP: KS địa hình, địa chất, lập tổng mặt bằng 1/500, lập BCNCKT, và tạm ứng HĐ TKBVTC-DT</t>
  </si>
  <si>
    <t>Trụ sở làm việc Sở Tài nguyên và Môi trường và các cơ quan trực thuộc</t>
  </si>
  <si>
    <t>7.205m2</t>
  </si>
  <si>
    <t>2751/QĐ-UBND 17/11/2021</t>
  </si>
  <si>
    <t>- Đề nghị bổ sung KHV năm 2024 (6 tháng cuối năm) thêm 16,603 tỷ, để để thanh toán khối lượng hoàn thành cho các gói thầu xây lắp, thiết bị và các gói tư vấn đang triển khai của dự án (GT07, GT09, GT10, GT12, GT13, GT15) có thời gian hoàn thành trong năm 2024. 
- Hiện nay KHV trung hạn 2021-2025 của dự án đang được bố trí 71,397 tỷ là chưa đủ theo TMĐT được phê duyệt 73,151 tỷ (thiếu 1,754 tỷ), đã xin điều chỉnh bổ sung KHV trung hạn 2021-2025 tăng lên 73,151 tỷ theo TMĐT được duyệt làm cơ sở bổ sung KHV năm 2024 để thanh toán cho các Gói thầu nêu trên.</t>
  </si>
  <si>
    <t>Trụ sở làm việc Văn phòng Đoàn Đại biểu Quốc hội và Hội đồng nhân dân tỉnh</t>
  </si>
  <si>
    <t>1577,8m2</t>
  </si>
  <si>
    <t>1213/QĐ-UBND 14/6/2022;
1287/QĐ-UBND 08/8/2023</t>
  </si>
  <si>
    <t>Trụ sở làm việc Chi cục Trồng trọt và bảo vệ thực vật</t>
  </si>
  <si>
    <t>2.070m2</t>
  </si>
  <si>
    <t>546/QĐ-SXD 15/12/2022</t>
  </si>
  <si>
    <t>Dự án hoàn thành đưa vào sử dụng năm 2024</t>
  </si>
  <si>
    <t>Cải tạo, sửa chữa Trụ sở Ủy ban nhân dân tỉnh An Giang</t>
  </si>
  <si>
    <t>Cải tạo, nâng cấp: PCCC, nội thất</t>
  </si>
  <si>
    <t>1691/QĐ-UBND 22/7/2021; 3092/QĐ-UBND 20/12/2022</t>
  </si>
  <si>
    <t xml:space="preserve">Bổ sung, tăng cường trang thiết bị cho Sở Tài nguyên và Môi trường và các đơn vị trực thuộc </t>
  </si>
  <si>
    <t>Cải tạo, sửa chữa Trụ sở làm việc Đài Phát thanh - Truyền hình An Giang</t>
  </si>
  <si>
    <t>Cải tạo
công trình hiện trạng; Đầu tư mới hệ thống thiết bị điều hòa không khí</t>
  </si>
  <si>
    <t>149/QĐ-SXD  08/4/2024</t>
  </si>
  <si>
    <t>Vốn năm 2024: Vốn ứng trước 3.000 trđ; Dự án kết thúc năm 2025</t>
  </si>
  <si>
    <t>55</t>
  </si>
  <si>
    <t>Nâng cấp Trung tâm Bảo trợ Xã hội tỉnh</t>
  </si>
  <si>
    <t>Khối nhà nuôi dưỡng đối tượng (02 khối trệt); Khối nhà quản lý (01 trệt + 01 lầu); Khối nhà bếp trệt; Hàng rào cách ly; Tháo dỡ khối hiện trạng; Hệ thống PCCC; Thiết bị</t>
  </si>
  <si>
    <t>158/QĐ-SXD  12/04/2024</t>
  </si>
  <si>
    <t>Giá trị: 2.048 triệu đồng (trong đó đã bố trí vốn kéo dài 2023 sang năm 2024: 1.548 triệu đồng, chưa bố trí 500 triệu đồng vốn năm 2024.</t>
  </si>
  <si>
    <t>56</t>
  </si>
  <si>
    <t>Mở rộng Nghĩa trang liệt sĩ tỉnh</t>
  </si>
  <si>
    <t>21.213,3 m2,  xây dựng Cổng hàng rào</t>
  </si>
  <si>
    <t>162/QĐ-UBND
25/01/2018, 
2755 /QĐ-UBND ngày 17/11/2021</t>
  </si>
  <si>
    <t>LĨNH VỰC XÃ HỘI</t>
  </si>
  <si>
    <t>LĨNH VỰC THỂ DỤC THỂ THAO</t>
  </si>
  <si>
    <t>Chủ đầu tư</t>
  </si>
  <si>
    <t>Ban QLDA ĐTXD&amp;KV PTĐT AG</t>
  </si>
  <si>
    <t>Ban QLDA ĐTXD CTGT&amp;NN AG</t>
  </si>
  <si>
    <t>Ban QLDA ĐTXD KV TP Long Xuyên</t>
  </si>
  <si>
    <t>Ban QLDA ĐTXD KV TP Châu Đốc</t>
  </si>
  <si>
    <t>Ban QLDA ĐTXD KV huyện Thoại Sơn</t>
  </si>
  <si>
    <t>Sở GD&amp;ĐT</t>
  </si>
  <si>
    <t>Ban Quản lý Khu du lịch
 quốc gia Núi Sam</t>
  </si>
  <si>
    <t>G</t>
  </si>
  <si>
    <t>G.1</t>
  </si>
  <si>
    <t>G.2</t>
  </si>
  <si>
    <t>G.3</t>
  </si>
  <si>
    <t>G.4</t>
  </si>
  <si>
    <t>LĨNH VỰC KHU CÔNG NGHIỆP VÀ KHU KINH TẾ</t>
  </si>
  <si>
    <t>Trung tâm Logistic cửa khẩu quốc tế Tịnh Biên (giai đoạn 1)</t>
  </si>
  <si>
    <t>21,5ha</t>
  </si>
  <si>
    <t>Chuẩn bị dự án</t>
  </si>
  <si>
    <t>Hệ thống xử lý nước thải tập trung Khu Thương mại - Dịch vụ cửa khẩu Khánh Bình (giai đoạn 1)</t>
  </si>
  <si>
    <t>2126/
QĐ-UBND 15/9/
2021</t>
  </si>
  <si>
    <t>Hạ tầng Khu tái định cư Vĩnh Xương mở rộng</t>
  </si>
  <si>
    <t>80.518
m2</t>
  </si>
  <si>
    <t>2020-2024</t>
  </si>
  <si>
    <t>404/QĐ-UBND 28/02/2020, 1090/QQĐ-UBND 24/5/
2021, 2243/QĐ-UBND 30/9/
2021, ,1251/QĐ-UBND 01/8/2023</t>
  </si>
  <si>
    <t>Trạm kiểm soát liên hợp cửa khẩu quốc tế Vĩnh Xương</t>
  </si>
  <si>
    <t>1342/QĐ-UBND 21/6/
2021, 757/QĐ-UBND 18/4/
2022</t>
  </si>
  <si>
    <t>Hệ thống xử lý nước thải tập trung Khu công nghiệp Xuân Tô (giai đoạn 1)</t>
  </si>
  <si>
    <t>1680/
QĐ-UBND 19/10/
2023</t>
  </si>
  <si>
    <t>Hiện nay, BQLKKT đã đề xuất SKHĐT điều chuyển nội bộ NST 1.500 trđ từ  DA TKSLH CKQT Vĩnh Xương sang KHV 2024 cho dự án này nhưng đến này chưa có</t>
  </si>
  <si>
    <t>Ban QL Khu kinh tế</t>
  </si>
  <si>
    <r>
      <t>700 m</t>
    </r>
    <r>
      <rPr>
        <vertAlign val="superscript"/>
        <sz val="14"/>
        <color theme="1"/>
        <rFont val="Times New Roman"/>
        <family val="1"/>
      </rPr>
      <t>3</t>
    </r>
    <r>
      <rPr>
        <sz val="14"/>
        <color theme="1"/>
        <rFont val="Times New Roman"/>
        <family val="1"/>
      </rPr>
      <t>/
ngày.
đêm</t>
    </r>
  </si>
  <si>
    <r>
      <t>79864 
m</t>
    </r>
    <r>
      <rPr>
        <vertAlign val="superscript"/>
        <sz val="14"/>
        <color theme="1"/>
        <rFont val="Times New Roman"/>
        <family val="1"/>
      </rPr>
      <t>2</t>
    </r>
  </si>
  <si>
    <r>
      <t>750 m</t>
    </r>
    <r>
      <rPr>
        <vertAlign val="superscript"/>
        <sz val="14"/>
        <color theme="1"/>
        <rFont val="Times New Roman"/>
        <family val="1"/>
      </rPr>
      <t>3</t>
    </r>
    <r>
      <rPr>
        <sz val="14"/>
        <color theme="1"/>
        <rFont val="Times New Roman"/>
        <family val="1"/>
      </rPr>
      <t>/
ngày.đêm</t>
    </r>
  </si>
  <si>
    <t>G.5</t>
  </si>
  <si>
    <t>Trường tiểu học D Phú Hữu (điểm chính)</t>
  </si>
  <si>
    <t>P.H</t>
  </si>
  <si>
    <t>XD mới
+ TBi</t>
  </si>
  <si>
    <t>22-24</t>
  </si>
  <si>
    <t>1257 - 01/08/23</t>
  </si>
  <si>
    <t>Trường tiểu học A Khánh An</t>
  </si>
  <si>
    <t>KA</t>
  </si>
  <si>
    <t>7026m2</t>
  </si>
  <si>
    <t>713 - 13/04/2022</t>
  </si>
  <si>
    <t>Trường tiểu học Phước Hưng điểm chính (Phước Thạnh)</t>
  </si>
  <si>
    <t>Phước Hưng</t>
  </si>
  <si>
    <t>Khối HCQT, khối ph, khối hỗ trợ học tập, khối phụ trợ, CT nước sạch, HTKT; Cải tạo 14ph, NVS; TB</t>
  </si>
  <si>
    <t>2730/QĐ-UBND
17/11/2021</t>
  </si>
  <si>
    <t xml:space="preserve">theo T.Trình 524 -24/5/2024 </t>
  </si>
  <si>
    <t>Ban QLDA ĐTXD KV huyện An Phú</t>
  </si>
  <si>
    <t>Trường tiểu học và THCS nội trú Khánh An</t>
  </si>
  <si>
    <t>Cấp TH 12 lớp, cấp THCS 4 lớp, HTKT, CTPTr và thiết bị.</t>
  </si>
  <si>
    <t>1077/QĐ-UBND
 07/7/2023</t>
  </si>
  <si>
    <t>Đầu tư CSVC, thiết bị dạy học phục vụ CT giáo dục phổ thông giai đoạn 2021 - 2025 huyện An Phú</t>
  </si>
  <si>
    <t>XD mới và cải tạo phòng học và XD mới và cải tạo phòng tin học bậc tiểu học</t>
  </si>
  <si>
    <t>NQ28/NQ-HĐND,
14/11/2023</t>
  </si>
  <si>
    <t xml:space="preserve">Trường THCS Phước Hưng </t>
  </si>
  <si>
    <t>PH</t>
  </si>
  <si>
    <t>23-26</t>
  </si>
  <si>
    <t>2571/QĐ- 19/10/2022</t>
  </si>
  <si>
    <t>XD mới: 309 xí; cải tạo: 124 xí</t>
  </si>
  <si>
    <t>3054/QĐ- 15/12/2022</t>
  </si>
  <si>
    <t>DA đầu tư xây dựng cải tạo, sửa chữa nhà vệ sinh và công trình nước sạch cho các điểm trường trên địa bàn huyện An Phú giai đoạn 2021–2025</t>
  </si>
  <si>
    <t>NCMR Cầu An Phú - Vĩnh Trường và đường dẫn vào cầu kết nối lưu thông với tuyến Quốc lộ 91C</t>
  </si>
  <si>
    <t>08 nhip</t>
  </si>
  <si>
    <t>23-25</t>
  </si>
  <si>
    <t>Cầu Đa Phước - Vĩnh Trường</t>
  </si>
  <si>
    <t>160m</t>
  </si>
  <si>
    <t>2541/QD-UBND ngày 17/10/2022</t>
  </si>
  <si>
    <t>629/QĐ-UBND ngày 11/5/2023</t>
  </si>
  <si>
    <t>NCMR Đường Bờ Đông Liên Xã</t>
  </si>
  <si>
    <t>14.43km</t>
  </si>
  <si>
    <t>23+26</t>
  </si>
  <si>
    <t>2654- 31/10/2022</t>
  </si>
  <si>
    <t>Dự án bố trí ổn định dân cư di dân cư di dân tự do, thiên tai khu vực ấp Thạnh Phú xã Khánh An</t>
  </si>
  <si>
    <t>6,3ha, 407 nền</t>
  </si>
  <si>
    <t>1588 - 07/7/2020; 1993 - 24/8/20202; 1174 - 08/6/2022; 2148 - ngày 28/12/2023</t>
  </si>
  <si>
    <t>Trùng tu, sửa chữa Đình Khánh Bình</t>
  </si>
  <si>
    <t>KB</t>
  </si>
  <si>
    <t>Thay mới mái ngói, gia cố các vách bị mục 504m2 (14m x 26m), xây mới nhà khói 208m2 (8m x 26m), xây mới nhà vệ sinh 20m2 và làm mới sân đình 350m2.</t>
  </si>
  <si>
    <t>2023- 
2025</t>
  </si>
  <si>
    <t>313/QĐ-UBND 
01/3/2024</t>
  </si>
  <si>
    <t>Trụ sở Khối vận huyện Ủy An Phú</t>
  </si>
  <si>
    <t>TT.AP</t>
  </si>
  <si>
    <t>Tổng diện tích khu đất khoảng 3.903m2</t>
  </si>
  <si>
    <t>2024-
2026</t>
  </si>
  <si>
    <t>472/QĐ-UBND ngày 27/3/2024</t>
  </si>
  <si>
    <t xml:space="preserve"> Trường TH Lạc Quới điểm chính (Vĩnh Hòa)</t>
  </si>
  <si>
    <t>Lạc Quới</t>
  </si>
  <si>
    <t>Tổng diện tích
 khu đất là 4.100,81m², gồm: Cải tạo: 15 phòng học, hạng mục thuộc Khối phòng hỗ trợ học tập, Khối phụ trợ, Hạ tầng kỹ thuật; Xây dựng mới: Khối phòng học tập, Khối phòng hành chính quản trị, Công trình nước sạch, hạng mục thuộc Khối phòng hỗ trợ học tập, Khối phụ trợ, Hạ tầng kỹ thuật; Bổ sung trang thiết bị.</t>
  </si>
  <si>
    <t>730/QĐ-UBND 26/5/2023</t>
  </si>
  <si>
    <t>Trường Tiểu học Lạc Quới điểm phụ (Vĩnh Thuận)</t>
  </si>
  <si>
    <t>Diện tích
 khu đất khoảng 4.100,81m², gồm: Cải tạo: 05 phòng học, hạng mục Khối phụ trợ; Xây dựng mới: Công trình nước sạch, hạng mục thuộc Khối phụ trợ, Hạ tầng kỹ thuật; Bổ sung trang thiết bị.</t>
  </si>
  <si>
    <t>290/QĐ-SXD 28/6/2023</t>
  </si>
  <si>
    <t>Ban QLDA ĐTXD KV huyện Tri Tôn</t>
  </si>
  <si>
    <t>Đầu tư cơ sở vật chất, thiết bị dạy học phục vụ Chương trình giáo dục phổ thông mới giai đoạn 2021-2025 huyện Tri Tôn</t>
  </si>
  <si>
    <t>Huyện Tri Tôn</t>
  </si>
  <si>
    <t>Xây dựng mới và cải tạo phòng học và phòng tin học tại các điểm trường  địa bàn huyện Tri Tôn; Mua sắm bổ sung trang thiết bị.</t>
  </si>
  <si>
    <t>270/QĐ-UBND 08/3/2023</t>
  </si>
  <si>
    <t xml:space="preserve"> Dự án ĐTXD cải tạo, sửa chữa nhà vệ sinh và công trình nước sạch cho các trường trên địa bàn huyện Tri Tôn giai đoạn 2021-2025</t>
  </si>
  <si>
    <t>XD + C.tạo NVS, Ctr. nước sạch.</t>
  </si>
  <si>
    <t>132/QĐ-UBND 10/02/2023</t>
  </si>
  <si>
    <t>Trường mẫu giáo Lạc Quới (Vĩnh Thuận)</t>
  </si>
  <si>
    <t xml:space="preserve"> Lạc Quới</t>
  </si>
  <si>
    <t>Diện tích khu đất 5365.9m2; XM 6 phòng học + cổng hàng rào, nhà bảo vệ, NXGV + HTKT + thiết bị</t>
  </si>
  <si>
    <t>Trường THCS Tân Tuyến</t>
  </si>
  <si>
    <t xml:space="preserve"> Tân Tuyến</t>
  </si>
  <si>
    <t>Diện tích khu đất của trường 10.859 m2, gồm: Xây mới:
06 phòng học và các phòng thuộc khối phòng học tập, 03 phòng thuộc khối phòng
hỗ trợ học tập, các phòng thuộc khối phụ trợ, công trình nước sạch, hạ tầng kỹ thuật;
Cải tạo: chuyển đổi công năng sử dụng 04 phòng học thành 03 phòng thuộc khối
hành chính – quản trị, 02 phòng thuộc khối hỗ trợ học tập, 01 phòng và nhà vệ sinh
thuộc khối phụ trợ; Bổ sung trang thiết bị</t>
  </si>
  <si>
    <t>711/QĐ-UBND ngày 13 tháng 4 năm 2022</t>
  </si>
  <si>
    <t>Trường THCS Lạc Quới</t>
  </si>
  <si>
    <t>Diện tích khu đất khoảng 11.757m²</t>
  </si>
  <si>
    <t>1104/QĐ-UBND 12/7/2023</t>
  </si>
  <si>
    <t>Trươờng tiểu học và THCS Núi Tô</t>
  </si>
  <si>
    <t>Núi Tô</t>
  </si>
  <si>
    <t>Trường mẫu giáo Núi Tô điểm chính (Tô Thuận)</t>
  </si>
  <si>
    <t>Trường mẫu giáo Núi Tô điểm phụ (Tô Hạ)</t>
  </si>
  <si>
    <t>Trường tiểu học A Núi Tô điểm phụ (Tô Trung)</t>
  </si>
  <si>
    <t>Trường tiểu học B Núi Tô điểm chính (Tô Hạ)</t>
  </si>
  <si>
    <t>Di tích Hố thờ An Lợi</t>
  </si>
  <si>
    <t>Châu Lăng</t>
  </si>
  <si>
    <t>1000m2</t>
  </si>
  <si>
    <t>1136/QĐ-UBND 14/7/2023</t>
  </si>
  <si>
    <t>Trung tâm văn hóa, thể thao xã Lạc Quới</t>
  </si>
  <si>
    <t>1.884 m2</t>
  </si>
  <si>
    <t>Số 299/QĐ-SXD ngày 03/07/2023</t>
  </si>
  <si>
    <t>Nâng cấp, cải tạo Trung tâm văn hóa, thể thao xã Núi Tô</t>
  </si>
  <si>
    <t>Xây dựng khu hành chính huyện Tri Tôn</t>
  </si>
  <si>
    <t>TT.Tri Tôn</t>
  </si>
  <si>
    <t>Diện tích dự án 64.963 m2;
Công trình trụ sở cơ quan, văn
phòng làm việc.</t>
  </si>
  <si>
    <t>Nâng cấp, cải tạo Trạm y tế xã Núi Tô</t>
  </si>
  <si>
    <t xml:space="preserve"> Núi Tô</t>
  </si>
  <si>
    <t>Cụm công nghiệp Lương An Trà giai đoạn 1</t>
  </si>
  <si>
    <t>Lương An Trà</t>
  </si>
  <si>
    <t>11,96ha</t>
  </si>
  <si>
    <t>2016-2020; 2021-2023</t>
  </si>
  <si>
    <t>3261/QĐ-UBND
30/10/2017;
2314/QĐ-UBND
08/10/2021</t>
  </si>
  <si>
    <t>Nâng cấp, mở rộng Đường kênh T4</t>
  </si>
  <si>
    <t>Vĩnh Gia</t>
  </si>
  <si>
    <t>3654,4m</t>
  </si>
  <si>
    <t>1326/QĐ-UBND 18/6/2021</t>
  </si>
  <si>
    <t>Trường THCS Ô Long Vĩ (điểm chính Long An)</t>
  </si>
  <si>
    <t>16PH+6PBM+PCN+HTKT+TBị+Ctrình phụ trợ</t>
  </si>
  <si>
    <t>2019-2022</t>
  </si>
  <si>
    <t>30/NQ-HĐND 07/12/2018</t>
  </si>
  <si>
    <t>Trường THCS Vĩnh Thạnh Trung</t>
  </si>
  <si>
    <t>Xây mới 06PH + 03PBM + TV + PCN; cải tạo 10PH; CTPT + HTKT; TB</t>
  </si>
  <si>
    <t>2018-2022</t>
  </si>
  <si>
    <t xml:space="preserve">2713/QĐ-UBND
20/11/2020
</t>
  </si>
  <si>
    <t>Trường TH D Vĩnh Thạnh Trung điểm chính (Vĩnh An)</t>
  </si>
  <si>
    <t>Xây mới 08PH + 01PNN + TV + PCN; cải tạo 13PH + NVS; CTPT + HTKT; trang thiết bị</t>
  </si>
  <si>
    <t>916/QĐ-UBND 31/3/2016; 204/QĐ-UBND 16/01/2017</t>
  </si>
  <si>
    <t>Trường THCS Vĩnh Thạnh Trung 2</t>
  </si>
  <si>
    <t>Xây mưới 08 PH + 06 PBM + thư viện + các phòng chức năng; Cải tạo 08 PH; Công trình phụ trợ + HTKT; Thiết bị</t>
  </si>
  <si>
    <t>2017-2022</t>
  </si>
  <si>
    <t>202/QĐ-UBND 16/01/2017</t>
  </si>
  <si>
    <t>Trường MG Bình Long điểm chính (Chánh Hưng)</t>
  </si>
  <si>
    <t>Xây mới, HTKT, TTB</t>
  </si>
  <si>
    <t>1224/QĐ-UBND 04/06/2021</t>
  </si>
  <si>
    <t>Năm 2022 không giải ngân hết KHV là 1.429 trđ không được kéo dài vốn. Bố trí lại để hoàn tạm ứng 1.429trđ</t>
  </si>
  <si>
    <t>Trường TH B Bình Long điểm chính (Chánh Hưng)</t>
  </si>
  <si>
    <t>1841/QĐ-UBND
06/8/2021</t>
  </si>
  <si>
    <t xml:space="preserve">Năm 2022 không giải ngân hết KHV là 2.287 trđ không được kéo dài vốn. Bố trí lại để hoàn tạm ứng 2.287 trđ; </t>
  </si>
  <si>
    <t>Trường MG Thạnh Mỹ Tây điểm chính (Mỹ Bình)</t>
  </si>
  <si>
    <t>Xây mới 06 phòng học + 01 phòng giáo dục thể chất + 01 phòng giáo dục nghệ thuật + 01 phong đa năng + Cải tạo 01 phòng học ; 01 nhà bếp, nhà ăn; Khối hành chính quản trị; Khối phụ trợ ; Hạ tầng kỹ thuật; Thiết bị</t>
  </si>
  <si>
    <t>3102/QĐ-UBND 28/12/2021</t>
  </si>
  <si>
    <t>Trường MG Thạnh Mỹ Tây điểm phụ (Bờ Dâu)</t>
  </si>
  <si>
    <t xml:space="preserve">Cải tạo 04 phòng học + Cải tạo 01 nhà bếp, nhà ăn + Hạ tầng kỹ thuật; Thiết bị. </t>
  </si>
  <si>
    <t>2527/QĐ-UBND 02/11/2021</t>
  </si>
  <si>
    <t>Trường TH B Thạnh Mỹ Tây (Ba Xưa)</t>
  </si>
  <si>
    <t>9159,1m2</t>
  </si>
  <si>
    <t>3101/QĐ-UBND 28/12/2021</t>
  </si>
  <si>
    <t>Ban QLDA ĐTXD KV huyện Châu Phú</t>
  </si>
  <si>
    <t>Trường TH A Thạnh Mỹ Tây (Tây An)</t>
  </si>
  <si>
    <t>8121m2</t>
  </si>
  <si>
    <t>2857/QĐ-UBND 30/11/2021</t>
  </si>
  <si>
    <t>Trường MG Bình Phú điểm phụ (Bình An)</t>
  </si>
  <si>
    <t>Xây mới 6 phòng học; Hạ tầng kỹ thuật; Thiết bị; Mua đất 2.500m2</t>
  </si>
  <si>
    <t>3236/QĐ-UBND 31/12/2021</t>
  </si>
  <si>
    <t>Dự án ĐTXD cải tạo, sửa chữa nhà vệ sinh và công trình nước sạch cho các trường trên địa bàn huyện Châu Phú giai đoạn 2021-2025</t>
  </si>
  <si>
    <t>Xây dựng mới và cải tạo phòng học và phòng tin học tại các điểm trường  địa bàn huyện Châu Phú; Mua sắm bổ sung trang thiết bị.</t>
  </si>
  <si>
    <t>43/NQ-HĐND 08/12/2021</t>
  </si>
  <si>
    <t>Đầu tư cơ sở vật chất, thiết bị dạy học phục vụ Chương trình giáo dục phổ thông mới giai đoạn 2021-2025 huyện Châu Phú</t>
  </si>
  <si>
    <t>04/NQ-HĐND 14/04/2022</t>
  </si>
  <si>
    <t>Trường THCS Thạnh Mỹ Tây</t>
  </si>
  <si>
    <t>13.740,6m2</t>
  </si>
  <si>
    <t>04/NQ-HĐND ngày 14/4/2022</t>
  </si>
  <si>
    <t>Trường THCS Bình Phú</t>
  </si>
  <si>
    <t>Xây mới 08 phòng học + cải tạo 08 phòng học; Khối phòng hành chính quản trị; Khối phòng học tập; Khối phòng hỗ trợ học tập, khối phụ trợ, hạ tầng kỹ thuật và; Thiết bị, mở rộng mua đất 2.000m2</t>
  </si>
  <si>
    <t>3103/QĐ-UBND ngày 28/12/2021</t>
  </si>
  <si>
    <t>Trường TH A Bình Long (Bình Chánh)</t>
  </si>
  <si>
    <t>03 phòng học, 01 phòng tin học, 01 phòng truyền thống, Đội thiếu niên tiền phong, 01 phòng tổ chức Đảng đoàn thể, 02 phòng nghỉ giáo viên, cải tạo, s/c các khối, HTKT</t>
  </si>
  <si>
    <t>3005/QĐ-UBND 16/12/2021</t>
  </si>
  <si>
    <t>Trường MG Bình Phú điểm chính (Bình Đức)</t>
  </si>
  <si>
    <t>Xây mới 10 phòng học + 01 Phòng giáo dục thể chất + 01 Phòng giáo dục nghệ thuật + 01 phòng đa năng + 01 nhà bếp, nhà ăn + Khối hành chính quản trị; Khối phụ trợ; Hạ tầng kỹ thuật; Thiết bị; Mua đất 3.300m2</t>
  </si>
  <si>
    <t>116/QĐ-UBND 20/01/2022</t>
  </si>
  <si>
    <t>Trường TH A Bình Phú (Bình Đức)</t>
  </si>
  <si>
    <t>Xây mới 08 phòng học + Cải tạo 12 phòng học; Khối phòng học tập;  Khối hỗ trợ học tập; Khối hành chính quản trị; Khối phụ trợ; Hạ tầng kỹ thuật; Thiết bị.</t>
  </si>
  <si>
    <t>2526/QĐ-UBND ngày 02/11/2021</t>
  </si>
  <si>
    <t>Trường THCS Cái Dầu</t>
  </si>
  <si>
    <t xml:space="preserve"> Xây dựng mới: Khối 06 phòng học + khối 03 phòng bộ môn (Lý, Hóa, sinh); Thiết bị.
</t>
  </si>
  <si>
    <t>947/QĐ-UBND 07/05/2021
2216/QĐ-UBND
27/9/2021</t>
  </si>
  <si>
    <t>Trường THCS Bình Long</t>
  </si>
  <si>
    <t>Xây mới: 08 phòng học, khối phòng học tập, khối
phòng hỗ trợ học tập, khối phòng Hành chính quản trị, khối phụ trợ, công trình
nước sạch; Cải tạo: 16 phòng học, hạ tầng kỹ thuật; Thiết bị.</t>
  </si>
  <si>
    <t>1225/QĐ-UBND 04/06/2021</t>
  </si>
  <si>
    <t>Nâng cấp, cải tạo Trung tâm y tế huyện Châu Phú</t>
  </si>
  <si>
    <t>2398/QĐ-UBND 30/9/2022</t>
  </si>
  <si>
    <t>Xây dựng mới Trạm Y tế xã  Bình Phú</t>
  </si>
  <si>
    <t>2788/QĐ-UBND 22/11/2021</t>
  </si>
  <si>
    <t>Trùng tu, sửa chữa Đình Bình Mỹ</t>
  </si>
  <si>
    <t>DT đất: 3.636 m2</t>
  </si>
  <si>
    <t>2321/QĐ-UBND 16/9/2022</t>
  </si>
  <si>
    <t>Trung tâm Văn hóa, Thể thao xã Bình Long</t>
  </si>
  <si>
    <t>- Tổng diện tích khu đất 2.521m2
- Xây dựng: Sân sinh hoạt cộng đồng, Hội trường văn hóa đa năng, 03
phòng chức năng, Sân bóng đá mini, hạ tầng kỹ thuật, nhà vệ sinh, thiết bị.</t>
  </si>
  <si>
    <t>658/QĐ-UBND
30/3/2021</t>
  </si>
  <si>
    <t>Trung tâm Văn hóa, Thể thao Thạnh Mỹ Tây</t>
  </si>
  <si>
    <t>- Tổng diện tích khu đất khoảng 3.170m2.</t>
  </si>
  <si>
    <t>2516/QĐ-UBND
02/11/2021</t>
  </si>
  <si>
    <t>Trung tâm Văn hóa, Thể thao xã Bình Phú</t>
  </si>
  <si>
    <t>3200m2</t>
  </si>
  <si>
    <t>2611/QĐ-UBND
08/11/2021</t>
  </si>
  <si>
    <t>Láng nhựa đường vòng xã Bình Thủy</t>
  </si>
  <si>
    <t>9554,3m</t>
  </si>
  <si>
    <t>431/QĐ-UBND 08/3/2022; 2741/QĐ-UBND 11/11/2022</t>
  </si>
  <si>
    <t>Cầu số 10 nối Tỉnh lộ 941 huyện Châu Thành với đường Nam kênh 10 huyện Châu Phú</t>
  </si>
  <si>
    <t>CP-CT</t>
  </si>
  <si>
    <t>278,79m</t>
  </si>
  <si>
    <t>2946/QĐ-UBND 17/12/2020; 181/QĐ-UBND 20/02/2023</t>
  </si>
  <si>
    <t>Nâng cấp tuyến đường Nam Cần Thảo (từ QL91 đến rừng tràm Trà sư, huyện Tịnh Biên)</t>
  </si>
  <si>
    <t>CP-TB</t>
  </si>
  <si>
    <t>20,6km</t>
  </si>
  <si>
    <t>Trụ sở Ủy ban nhân dân xã Bình Long</t>
  </si>
  <si>
    <t>11159m2</t>
  </si>
  <si>
    <t>929/QĐ-UBND ngày 06/05/2021</t>
  </si>
  <si>
    <t>Năm 2022 không giải ngân hết KHV là 20 trđ không được kéo dài vốn. Bố trí lại để hoàn tạm ứng 20 trđ</t>
  </si>
  <si>
    <r>
      <t>5,500m</t>
    </r>
    <r>
      <rPr>
        <vertAlign val="superscript"/>
        <sz val="14"/>
        <color theme="1"/>
        <rFont val="Times New Roman"/>
        <family val="1"/>
      </rPr>
      <t>2</t>
    </r>
  </si>
  <si>
    <t>Nhu cầu vốn năm 2025 để thanh toán chi phí chuẩn bị đầu tư (xin điều chỉnh vốn trung hạn)</t>
  </si>
  <si>
    <t>Nhu cầu vốn năm 2025 để chuẩn bị đầu tư (chưa xin điều chỉnh vốn trung hạn)</t>
  </si>
  <si>
    <t>Dự kiến nhu cầu vốn 2024 chuẩn bị đầu tư và tạm ứng HĐ là 2.7 tỷ (Đã đề nghị bố trí trung hạng nhưng chưa duyệt)</t>
  </si>
  <si>
    <t>Nhu cầu vốn năm 2025 để thanh toán chi phí chuẩn bị đầu tư (chưa xin điều chỉnh vốn trung hạn)</t>
  </si>
  <si>
    <t>Đã đề nghị bổ 
sung vốn năm 2024: 260 triệu đồng để quyết toán hoàn thành dự án. Dự án kết thúc năm 2024</t>
  </si>
  <si>
    <t xml:space="preserve">Chương trình MTQG giảm nghèo bền vững giai đoạn 2021-2025 </t>
  </si>
  <si>
    <t>Dự án 1: Hỗ trợ đầu tư phát triển hạ tầng kinh tế xã hội huyện nghèo.</t>
  </si>
  <si>
    <t>Tiểu dự án 1: Hỗ trợ đầu tư phát triển hạ tầng kinh tế - Xã hội</t>
  </si>
  <si>
    <t>Bê tông xi măng đường liên xã, xã Lạc Quới - xã Vĩnh Phước</t>
  </si>
  <si>
    <t>xã Lạc Quới -xã Vĩnh Phước</t>
  </si>
  <si>
    <t>QĐ SỐ 1084/QĐ-UBND ngày 28/03/2023</t>
  </si>
  <si>
    <t>Bê tông xi măng đường liên xã, xã Vĩnh Phước - xã Lương Phi</t>
  </si>
  <si>
    <t>xã Vĩnh Phước - xã Lương Phi</t>
  </si>
  <si>
    <t>QĐ số 8514A/QĐ-UBND 
ngày 26/12/2022</t>
  </si>
  <si>
    <t>Nâng cấp đường Kênh Ông Tà xã Vĩnh Phước - thị trấn Ba Chúc</t>
  </si>
  <si>
    <t>xã Vĩnh Phước - Thị trấn Ba Chúc</t>
  </si>
  <si>
    <t>QĐ số 1259/QĐ-UBND 
ngày 10/04/2023</t>
  </si>
  <si>
    <t>Nâng cấp đường giao thông nông thôn liên xã, xã Vĩnh Gia - xã Lạc Quới</t>
  </si>
  <si>
    <t xml:space="preserve"> xã Vĩnh Gia -  xã Lạc Quới</t>
  </si>
  <si>
    <t>QĐ số 1374/QĐ-UBND 
ngày 18/04/2023</t>
  </si>
  <si>
    <t>Nâng cấp đường liên xã, thị trấn Ba chúc - xã Lương Phi</t>
  </si>
  <si>
    <t>Thị trấn  Ba Chúc - xã Lương Phi</t>
  </si>
  <si>
    <t>QĐ số 1438/QĐ-UBND 
ngày 21/04/2023</t>
  </si>
  <si>
    <t>Bê tông xi măng đường liên xã, xã An Tức - xã Lương Phi</t>
  </si>
  <si>
    <t>xã An Tức - xã Lương Phi</t>
  </si>
  <si>
    <t>QĐ số 8516A/QĐ-UBND 
ngày 26/12/2022</t>
  </si>
  <si>
    <t>Nâng cấp đường liên xã, xã Núi Tô - xã An Tức</t>
  </si>
  <si>
    <t>xã Núi Tô - xã An Tức</t>
  </si>
  <si>
    <t>QĐ số 6129/QĐ-UBND 
ngày 20/12/2023</t>
  </si>
  <si>
    <t xml:space="preserve">Nâng cấp, mở rộng đường liên xã, xã Núi Tô - thị trấn Tri Tôn </t>
  </si>
  <si>
    <t>xã Núi Tô - thị trấn Tri Tôn</t>
  </si>
  <si>
    <t>QĐ số 1070/QĐ-UBND 
ngày 27/03/2023</t>
  </si>
  <si>
    <t>Nâng cấp đường N8 liên xã, xã Lê Trì - xã Lương Phi</t>
  </si>
  <si>
    <t>xã Lê Trì - xã Lương Phi</t>
  </si>
  <si>
    <t>QĐ số 1260/QĐ-UBND 
ngày 10/04/2023</t>
  </si>
  <si>
    <t>Bê tông xi măng đường liên xã thị trấn Ba Chúc - xã Lê Trì (Đoạn Sóc Tức)</t>
  </si>
  <si>
    <t>Thị trấn  Ba Chúc - xã Lê Trì</t>
  </si>
  <si>
    <t>QĐ số 50A/QĐ-UBND 
ngày 06/01/2023</t>
  </si>
  <si>
    <t>Nâng cấp đường liên xã Tây Kênh 13 thị trấn Cô Tô - xã Núi Tô</t>
  </si>
  <si>
    <t>Thị trấn Cô Tô - xã Núi Tô</t>
  </si>
  <si>
    <t>QĐ số 1123/QĐ-UBND 
ngày 03/04/2023</t>
  </si>
  <si>
    <t>Nâng cấp đường liên xã, xã Lương An Trà - xã Vĩnh Phước</t>
  </si>
  <si>
    <t>xã Lương An Trà - xã Vĩnh Phước</t>
  </si>
  <si>
    <t>QĐ số 1277/QĐ-UBND 
ngày 12/04/2023</t>
  </si>
  <si>
    <t>Nâng cấp đường giao thông, hạ tầng liên xã, xã Ô Lâm - xã Lương An Trà</t>
  </si>
  <si>
    <t>xã Ô Lâm - xã Lương An Trà</t>
  </si>
  <si>
    <t>QĐ số 1069/QĐ-UBND 
ngày 27/03/2023</t>
  </si>
  <si>
    <t>Nâng cấp bê tông xi măng đường liên xã, xã Châu Lăng - thị trấn Tri Tôn - xã Núi Tô</t>
  </si>
  <si>
    <t>xã Châu Lăng - thị trấn Tri Tôn - xã Núi Tô</t>
  </si>
  <si>
    <t>QĐ số 1275/QĐ-UBND 
ngày 12/04/2023</t>
  </si>
  <si>
    <t>Bê Tông xi măng đường liên xã, xã Tân Tuyến – thị trấn Cô Tô</t>
  </si>
  <si>
    <t xml:space="preserve">xã Tân Tuyến - xã  thị trấn Cô Tô
</t>
  </si>
  <si>
    <t>QĐ số 1429/QĐ-UBND 
ngày 20/04/2023</t>
  </si>
  <si>
    <t>Nâng cấp đường liên xã, xã Châu Lăng - thị trấn Tri Tôn</t>
  </si>
  <si>
    <t>xã Châu Lăng -Thị trấn Tri Tôn</t>
  </si>
  <si>
    <t>QĐ số 1068/QĐ-UBND 
ngày 27/03/2023</t>
  </si>
  <si>
    <t>Nâng cấp, mở rộng đường nhánh liên xã, xã Châu Lăng - xã Lương Phi</t>
  </si>
  <si>
    <t>xã Châu Lăng -xã Lương Phi</t>
  </si>
  <si>
    <t>QĐ số 1432/QĐ-UBND 
ngày 21/04/2023</t>
  </si>
  <si>
    <t>Bê tông xi măng đường liên xã, xã  Lê Trì - xã Lạc Quới</t>
  </si>
  <si>
    <t>xã  Lê Trì - xã Lạc Quới</t>
  </si>
  <si>
    <t>Thêm danh mục</t>
  </si>
  <si>
    <t>Nâng cấp đường giao thông, cơ sở hạ tầng liên xã, xã Núi Tô - thị trấn Tri Tôn</t>
  </si>
  <si>
    <t xml:space="preserve"> xã Núi Tô - thị trấn Tri Tôn</t>
  </si>
  <si>
    <t>QĐ số 1376/QĐ-UBND 
ngày 18/04/2023</t>
  </si>
  <si>
    <t>Nâng cấp đường giao thông, cơ sở hạ tầng liên xã, xã Ô Lâm - thị trấn Cô Tô</t>
  </si>
  <si>
    <t>xã Ô Lâm - thị trấn Cô Tô</t>
  </si>
  <si>
    <t>QĐ số 1293/QĐ-UBND 
ngày 13/04/2023</t>
  </si>
  <si>
    <t>Nâng cấp mở rộng đường giao thông liên xã Kênh 11 xã Tà Đảnh - xã Tân Tuyến</t>
  </si>
  <si>
    <t>xã Tà Đảnh - xã Tân Tuyến</t>
  </si>
  <si>
    <t>2136,6 m</t>
  </si>
  <si>
    <t>QĐ số 1083/QĐ-UBND 
ngày 28/03/2023</t>
  </si>
  <si>
    <t>Nâng cấp hạ tầng đường giao thông liên xã, xã Lạc Quới - xã Lê Trì</t>
  </si>
  <si>
    <t>xã Lạc Quới - xã Lê Trì</t>
  </si>
  <si>
    <t>1370,72 m</t>
  </si>
  <si>
    <t>QĐ số 1377/QĐ-UBND 
ngày 18/04/2023</t>
  </si>
  <si>
    <t>Nâng cấp đường liên xã bờ Tây kênh 10 xã Tân Tuyến - Thị trấn Cô Tô</t>
  </si>
  <si>
    <t>xã Tân Tuyến -  Thị trấn Cô Tô</t>
  </si>
  <si>
    <t>2624,6 m</t>
  </si>
  <si>
    <t>QĐ số 1375/QĐ-UBND 
ngày 18/04/2023</t>
  </si>
  <si>
    <t>Nâng cấp đường giao thông liên xã, xã Châu Lăng - xã Lương Phi</t>
  </si>
  <si>
    <t>xã Châu Lăng- xã Lương Phi</t>
  </si>
  <si>
    <t>1157,6 m</t>
  </si>
  <si>
    <t>QĐ số 1224/QĐ-UBND 
ngày 04/04/2023</t>
  </si>
  <si>
    <t>Tiểu dự án 2: Triển khai Đề án hỗ trợ một số huyện nghèo thoát khỏi tình trạng nghèo, đặc biệt khó khăn giai đoạn 2022 - 2025 do Thủ tướng Chính phủ phê duyệt</t>
  </si>
  <si>
    <t>Bê tông xi măng đường nhánh liên xã, xã Tà Đảnh - xã Tân Tuyến</t>
  </si>
  <si>
    <t>Chiều dài 4910m</t>
  </si>
  <si>
    <t>QĐ số 2992/QĐ-UBND 
ngày 21/7/2023</t>
  </si>
  <si>
    <t>Đường liên xã cặp kênh Tám ngàn (xã Lương Phi-xã Châu Lăng- thị trấn Tri Tôn)</t>
  </si>
  <si>
    <t>xã Lương Phi - xã Châu Lăng- thị trấn Tri Tôn</t>
  </si>
  <si>
    <t>Chiều dài 3400m</t>
  </si>
  <si>
    <t>QĐ số 2993/QĐ-UBND 
ngày 21/7/2023</t>
  </si>
  <si>
    <t>Nâng Cấp, Mở Rộng Đường Liên Xã Nối Dài Xã Núi Tô - Thị Trấn Tri Tôn</t>
  </si>
  <si>
    <t>5.240m</t>
  </si>
  <si>
    <t>QĐ số 2991/QĐ-UBND 
ngày 21/7/2023</t>
  </si>
  <si>
    <t>Bê tông xi măng đường  liên xã từ TL 943 xã Tân Tuyến -  xã Tà Đảnh</t>
  </si>
  <si>
    <t>xã Tân Tuyến - xã Tà Đảnh</t>
  </si>
  <si>
    <t xml:space="preserve">Chiều dài 3.300m </t>
  </si>
  <si>
    <t>QĐ số 2994/QĐ-UBND 
ngày 21/7/2023</t>
  </si>
  <si>
    <t>Cầu Kênh Bến Dầu</t>
  </si>
  <si>
    <t>Xã Lương Phi</t>
  </si>
  <si>
    <t>Cống Kênh Ông Tà</t>
  </si>
  <si>
    <t xml:space="preserve">Xã Vĩnh Phước </t>
  </si>
  <si>
    <t xml:space="preserve">Trường MG Hòa Bình điểm phụ (An Thái) </t>
  </si>
  <si>
    <t>Diện tích khu đất khoảng 1.500 m2; gồm: Xây mới Khối
04 phòng học, Công trình phụ trợ, hạ tầng kỹ thuật, trang thiết bị, công trình nước
sạch.</t>
  </si>
  <si>
    <t>479/QĐ-SXD 15/11/2021; 543/QĐ-SXD 20/11/2023</t>
  </si>
  <si>
    <t>Trường MG Hội An điểm chính (ấp Thị 1)</t>
  </si>
  <si>
    <t>Tổng diện tích khu đất 3.469 m2, gồm: Xây mới: 08
phòng học và các phòng thuộc khối phòng nuôi dưỡng chăm sóc giáo dục trẻ,
khối phòng hành chính quản trị, khối phòng tổ chức ăn, khối phụ trợ, hạ tầng kỹ
thuật, công trình nước sạch; Mua sắm trang thiết bị bổ sung.</t>
  </si>
  <si>
    <t>3002/QĐ-UBND
16/12/2021</t>
  </si>
  <si>
    <t xml:space="preserve">Trường MG Mỹ An điểm chính (Mỹ Long). </t>
  </si>
  <si>
    <t>Tổng diện tích khu đất khoảng 3.000 m2; gồm các hạng
mục sau: Xây mới 08 phòng học; xây mới phòng chức năng + khu hiệu bộ; công
trình phụ trợ, hạ tầng kỹ thuật; công trình nước sạch; trang thiết bị.</t>
  </si>
  <si>
    <t>3106/QĐ-UBND
28/12/2021</t>
  </si>
  <si>
    <t xml:space="preserve">Trường MG Nhơn Mỹ điểm chính (Mỹ Hoà)  </t>
  </si>
  <si>
    <t>5.393 m2</t>
  </si>
  <si>
    <t>839/QĐ-UBND 27/4/2022; 279/QĐ-UBND 27/2/2024;</t>
  </si>
  <si>
    <t xml:space="preserve">Trường TH C Nhơn Mỹ điểm chính (Nhơn Hiệp) </t>
  </si>
  <si>
    <t>4.390 m2</t>
  </si>
  <si>
    <t>838/QĐ-UBND 27/4/2022; 2093/QĐ-UBND 22/12/2023;</t>
  </si>
  <si>
    <t xml:space="preserve">Trường MG Mỹ Hội Đông điểm chính (Mỹ Đức) </t>
  </si>
  <si>
    <t>5610m2</t>
  </si>
  <si>
    <t>1831/QĐ-UBND 20/7/2022</t>
  </si>
  <si>
    <t xml:space="preserve">Trường TH C Mỹ Hội Đông (Mỹ Hoà B) </t>
  </si>
  <si>
    <t>Diện tích khu đất khoảng 6.610 m2, gồm: Xây mới 04
Phòng học + khối Hành chính quản trị + khối Phục vụ học tập; Công trình phụ trợ;
Cải tạo 14 phòng học, hạ tầng kỹ thuật; Công trình nước sạch; Trang thiết bị.</t>
  </si>
  <si>
    <t>326/QĐ-UBND
23/02/2022</t>
  </si>
  <si>
    <t>Trường MG Long Giang điểm chính (Long Thạnh 2)</t>
  </si>
  <si>
    <t>2.800 m2, TTB, HTKT</t>
  </si>
  <si>
    <t>478/QĐ-SXD 15/11/2021</t>
  </si>
  <si>
    <t>Trường TH C Long Giang (Long Hoà)</t>
  </si>
  <si>
    <t>5.646 m2</t>
  </si>
  <si>
    <t>3094/QĐ-UBND 27/12/2021;124/QĐ-UBND 15/01/2024</t>
  </si>
  <si>
    <t>Ban QLDA ĐTXD KV huyện Chợ Mới</t>
  </si>
  <si>
    <t>THCS Nguyễn Văn Tây</t>
  </si>
  <si>
    <t>Trường THCS Lê Hưng Nhượng</t>
  </si>
  <si>
    <t>13106m2</t>
  </si>
  <si>
    <t>3307/QĐ-UBND 31/12/2021</t>
  </si>
  <si>
    <t>Trường THCS Dương Bình Giang</t>
  </si>
  <si>
    <t>11.000 m2</t>
  </si>
  <si>
    <t>3309/QĐ-UBND 31/12/2021</t>
  </si>
  <si>
    <t>Trường THCS Hoàng Hiệp</t>
  </si>
  <si>
    <t>2817m2</t>
  </si>
  <si>
    <t>3308/QĐ-UBND 31/12/2021</t>
  </si>
  <si>
    <t xml:space="preserve">Trường THCS Phan Thành Long </t>
  </si>
  <si>
    <t>13962m2</t>
  </si>
  <si>
    <t>3140/QĐ-UBND 27/12/2022</t>
  </si>
  <si>
    <t xml:space="preserve">Trường THCS Nguyễn Kim Nha </t>
  </si>
  <si>
    <t>Phòng học, TTB...</t>
  </si>
  <si>
    <t>716/QĐ-UBND 13/4/2022</t>
  </si>
  <si>
    <t>Trường THCS Long Giang</t>
  </si>
  <si>
    <t>1953m2</t>
  </si>
  <si>
    <t>3311/QĐ-UBND 31/12/2021</t>
  </si>
  <si>
    <t>Dự án ĐTXD cải tạo, sửa chữa nhà vệ sinh và công trình nước sạch cho các trường trên địa bàn huyện Chợ Mới giai đoạn 2021-2025</t>
  </si>
  <si>
    <t>Chợ Mới</t>
  </si>
  <si>
    <t>264/QĐ-SXD 12/6/2023</t>
  </si>
  <si>
    <t>Đầu tư cơ sở vật chất, thiết bị dạy học phục vụ Chương trình giáo dục phổ thông mới giai đoạn 2021-2025 huyện Chợ Mới</t>
  </si>
  <si>
    <t>Xây dựng mới và cải tạo phòng học và phòng tin học tại các điểm trường  địa bàn huyện Chợ Mới; Mua sắm bổ sung trang thiết bị.</t>
  </si>
  <si>
    <t xml:space="preserve">Trường TH A Hòa Bình điểm chính (An Thuận) </t>
  </si>
  <si>
    <t>8009m2</t>
  </si>
  <si>
    <t>3213/QĐ-UBND 30/12/2022</t>
  </si>
  <si>
    <t>Trường TH A Hội An điểm chính  (ấp Thị 1)</t>
  </si>
  <si>
    <t>THCS Nguyễn Văn Ba</t>
  </si>
  <si>
    <t>Cải tạo, nâng cấp Trung tâm Y tế huyện Chợ Mới</t>
  </si>
  <si>
    <t>Bổ sung Khối tổng hợp 50 giường</t>
  </si>
  <si>
    <t>1663/QĐ-UBND; NQ 28/NQ-HĐND 14/11/2023
17/7/2020</t>
  </si>
  <si>
    <t>Nhà bao che; Hệ thống bể xử lý nước thải; Thiết bị</t>
  </si>
  <si>
    <t>1555/QĐ-UBND 09/7/2021</t>
  </si>
  <si>
    <t>Trung tâm Văn hóa, Thể thao huyện Chợ Mới</t>
  </si>
  <si>
    <t>2742/QĐ-UBND 17/11/2021; 1906/QĐ-UBND 28/11/2023</t>
  </si>
  <si>
    <t>TTVH - Thể thao xã Long Giang</t>
  </si>
  <si>
    <t>480/QĐ-SXD 15/11/2021</t>
  </si>
  <si>
    <t>Trụ sở UBND xã  Phú An</t>
  </si>
  <si>
    <t>Phú An</t>
  </si>
  <si>
    <t>1554,3m2</t>
  </si>
  <si>
    <t>491/QĐ-SXD 21/11/2022</t>
  </si>
  <si>
    <t>Trụ sở UBND xã  Phú Long</t>
  </si>
  <si>
    <t xml:space="preserve">Phú Long </t>
  </si>
  <si>
    <t>5080m2</t>
  </si>
  <si>
    <t>364/QĐ-SXD 19/9/2022</t>
  </si>
  <si>
    <t>Ban QLDA ĐTXD KV huyện Phú Tân</t>
  </si>
  <si>
    <t>Trung tâm VH TT xã Tân Trung</t>
  </si>
  <si>
    <t>Tân Trung</t>
  </si>
  <si>
    <t>Tổng diện tích dự án khoảng 1.657m2.</t>
  </si>
  <si>
    <t>2022 – 2024</t>
  </si>
  <si>
    <t>530/QĐ-SXD 07/12/2022</t>
  </si>
  <si>
    <t>Mở rộng Cụm công nghiệp-tiểu thủ công nghiệp Tân Trung</t>
  </si>
  <si>
    <t>46ha</t>
  </si>
  <si>
    <t>3265/QĐ-UBND 30/10/2017; 66/QĐ-UBND 11/01/2018; 2426/QĐ-UBND 03/10/2022</t>
  </si>
  <si>
    <t>Trường TH Long Hòa ĐP(Long Thạnh 2)</t>
  </si>
  <si>
    <t>Long Hòa</t>
  </si>
  <si>
    <t>Xây dựng mới: Khu vệ sinh, nhà để xe; Cải tạo: khối 06 phòng học, khu vệ sinh, cổng - hàng rào; HTKT</t>
  </si>
  <si>
    <t>298/QĐ-SXD 03/07/2023</t>
  </si>
  <si>
    <t>Trường MG Tân Trung điểm chính ( Tân Thạnh)</t>
  </si>
  <si>
    <t xml:space="preserve">Tân Trung </t>
  </si>
  <si>
    <t>4058,4m2</t>
  </si>
  <si>
    <t>3139/QĐ-UBND 27/12/2022</t>
  </si>
  <si>
    <t>Hệ thống xử lý nước thải trạm y tế xã Bình Phước Xuân, Mỹ An, Long Giang, Mỹ Hội Đông</t>
  </si>
  <si>
    <t>NC CT Trạm y tế xã Tân Trung</t>
  </si>
  <si>
    <t>265,6 m2</t>
  </si>
  <si>
    <t>428/QÐ-SXD ngày 18/09/2023</t>
  </si>
  <si>
    <t>NC CT Trụ sở UBND TT Chợ Vàm</t>
  </si>
  <si>
    <t>Chợ Vàm</t>
  </si>
  <si>
    <t>Trụ sở làm việc, công trình phụ trợ, HTKT (cải tạo)</t>
  </si>
  <si>
    <t>657/QÐ-SXD ngày 24/07/2023</t>
  </si>
  <si>
    <t>Trường TH B Phú Mỹ</t>
  </si>
  <si>
    <t>Phú Mỹ</t>
  </si>
  <si>
    <t>XD mới 14p, TTB</t>
  </si>
  <si>
    <t>472/QÐ-UBND ngày 13/4/2023</t>
  </si>
  <si>
    <t>10</t>
  </si>
  <si>
    <t>Trường TH Tân Trung điểm chính ( Tân Thạnh)</t>
  </si>
  <si>
    <t>657/QÐ-UBND ngày 15/5/2023</t>
  </si>
  <si>
    <t>11</t>
  </si>
  <si>
    <t>Trường TH Long Hòa điểm chính (Long Hòa 1)</t>
  </si>
  <si>
    <t>Xây dựng mới: Khối hành chính quản trị + hỗ trợ học tập, khối 02 phòng học + phòng bộ môn, nhà để xe; Cải tạo: Khối 14 phòng học, khu vệ sinh, cổng, hàng rào; HTKT</t>
  </si>
  <si>
    <t>370/QÐ-UBND ngày 14/3/2024</t>
  </si>
  <si>
    <t>12</t>
  </si>
  <si>
    <t>Trường MG Long Hòa (Long Hòa 1)</t>
  </si>
  <si>
    <t>Xây mới 02 phòng học, khối hành chính quản trị, phòng chức năng, công trình phụ trợ, HTKT, thiết bị</t>
  </si>
  <si>
    <t>174/QÐ-UBND ngày 25/4/2024</t>
  </si>
  <si>
    <t>13</t>
  </si>
  <si>
    <t>Trạm y tế xã Long Hòa</t>
  </si>
  <si>
    <t>425 m2</t>
  </si>
  <si>
    <t>71/QÐ-SXD ngày 16/02/2024</t>
  </si>
  <si>
    <t>14</t>
  </si>
  <si>
    <t>Trung tâm Văn hóa, Thể thao xã Long Hòa</t>
  </si>
  <si>
    <t>1657m2</t>
  </si>
  <si>
    <t>237/QÐ-SXD ngày 11/06/2024</t>
  </si>
  <si>
    <t>15</t>
  </si>
  <si>
    <t>Đầu tư cơ sở vật chất, thiết bị dạy học phục vụ Chương trình giáo dục phổ thông mới giai đoạn 2021 – 2025 huyện Phú Tân</t>
  </si>
  <si>
    <t>Phú Tân</t>
  </si>
  <si>
    <t>Xây dựng mới và cải tạo phòng học và phòng tin học tại các điểm trường  địa bàn huyện Phú Tân; Mua sắm bổ sung trang thiết bị.</t>
  </si>
  <si>
    <t>Trường THCS Tân Trung</t>
  </si>
  <si>
    <t>XD mới và cải tạo các khối phòng học tập, khối phòng hành chánh QT, Khối phòng hỗ trợ học tập, Khối phụ trợ và HTKT</t>
  </si>
  <si>
    <t>2174/QÐ-UBND ngày 29/12/2023</t>
  </si>
  <si>
    <t>Trường Mầm Non Phú Mỹ</t>
  </si>
  <si>
    <t>- Xây mới: 20 phòng học, phòng chức năng, công trình phụ trợ, hạ tầng kỹ thuật.
- Cải tạo: 04 phòng học thành các phòng chức năng.
- Trang thiết bị.</t>
  </si>
  <si>
    <t>2149/QÐ-UBND ngày 28/12/2023</t>
  </si>
  <si>
    <t>18</t>
  </si>
  <si>
    <t xml:space="preserve">Trường THCS Phú Thọ </t>
  </si>
  <si>
    <t>Phú Thọ</t>
  </si>
  <si>
    <t>Xây mới 10 phòng học + PCN + HTKT + TTB; Cải tạo 08 phòng học</t>
  </si>
  <si>
    <t>2170/QĐ-UBND 21/9/2021; 1944/QĐ-UBND 03/8/2022</t>
  </si>
  <si>
    <t>19</t>
  </si>
  <si>
    <t xml:space="preserve">Trường THCS Long Hòa </t>
  </si>
  <si>
    <t>XD 02 p, khối phòng hành chính quản trị, khối phòng học tập, khối phòng hỗ trợ học tập, khối phụ trợ, công trình nước sạch; Cải tạo: 08 p, khối phòng hành chính quản trị, khối phòng học tập, khối phòng hỗ trợ học tập, khối phụ trợ, HTKT; Thiết bị.</t>
  </si>
  <si>
    <t>Dự án ĐTXD cải tạo sc NVS và công trình nước sạch cho các trường trên địa bàn huyện Phú Tân gđ 2021-2025</t>
  </si>
  <si>
    <t>Toàn huyện</t>
  </si>
  <si>
    <t>- Nhà vệ sinh học sinh: xây mới 214 xí + cải tạo 280 xí
- Nhà vệ sinh giáo viên: xây mới 36 xí + cải tạo 60 xí
- Công trình nước sạch: 51 công trình</t>
  </si>
  <si>
    <t>259/QĐ-UBND 07/3/2023</t>
  </si>
  <si>
    <t>Tuyến tránh sạt lở tỉnh lộ 954 xã Phú An</t>
  </si>
  <si>
    <t>xã Phú An</t>
  </si>
  <si>
    <t>1174m</t>
  </si>
  <si>
    <t>Trường THCS Nguyễn Văn Trỗi</t>
  </si>
  <si>
    <t>An Phú - TB</t>
  </si>
  <si>
    <t>Tổng DT đất 6.107 m2</t>
  </si>
  <si>
    <t>3292/QĐ-UBND 31/12/2021</t>
  </si>
  <si>
    <t>Ban QLDA ĐTXD KV TX.Tịnh Biên</t>
  </si>
  <si>
    <t>20</t>
  </si>
  <si>
    <t>Nâng cấp mở rông khẩn cấp đường tỉnh 948 thuộc tuyến quốc phòng an ninh vùng biên giới và dân tộc</t>
  </si>
  <si>
    <t>Tịnh Biên - Tri Tôn</t>
  </si>
  <si>
    <t>9.601m</t>
  </si>
  <si>
    <t>2017-2023</t>
  </si>
  <si>
    <t>2284/QĐ-UBND 28/7/2017; 388/QĐ-UBND 26/02/2020; 3040/QĐ-UBND 14/12/2022; 303/QĐ-UBND 15/3/2023</t>
  </si>
  <si>
    <t>Nâng cấp mở rộng khẩn cấp đường tỉnh 948 thuộc tuyến quốc phòng an ninh vùng biên giới và dân tộc giai đoạn 2</t>
  </si>
  <si>
    <t>16,371km</t>
  </si>
  <si>
    <t>2331/QĐ-UBND 12/10/2021; 1005/QĐ-UBND 13/5/2022</t>
  </si>
  <si>
    <t>Nâng cấp, mở rộng đường Hương lộ 11 (bao gồm tuyến chính và tuyến nhánh đi đến trung tâm xã Tân Lập đấu nối với đường tỉnh 945</t>
  </si>
  <si>
    <t>22,094m</t>
  </si>
  <si>
    <t>1710/QĐ-UBND ngày 25/10/2023</t>
  </si>
  <si>
    <t>Xử lý hạ tầng giao thông đô thị giai đoạn 1 đáp ứng tiêu chí đô thị loại IV-III, thành lập thị xã Tịnh Biên</t>
  </si>
  <si>
    <t>NC, cải tạo HTTN, GT, CX, CS trên địa bàn TT: Nhà Bàng, Chi Lăng, Tịnh Biên, xã Núi Voi và xã Nhơn Hưng</t>
  </si>
  <si>
    <t>732/QĐ-UBND 26/5/2023</t>
  </si>
  <si>
    <t>Di tích Gò Cây Tung</t>
  </si>
  <si>
    <t>Dự án ĐTXD cải tạo, sửa chữa nhà vệ sinh và công trình nước sạch cho các trường trên địa bàn huyện Tỉnh Biên giai đoạn 2021-2025</t>
  </si>
  <si>
    <t>XD 471 xí, c.tạo 22 xí, 68 Ctr nước sạch</t>
  </si>
  <si>
    <t>3129/QD-UBND 26/12/2022</t>
  </si>
  <si>
    <t>Đầu tư cơ sở vật chất, thiết bị dạy học phục vụ Chương trình giáo dục phổ thông mới giai đoạn 2021-2025 huyện Tịnh Biên</t>
  </si>
  <si>
    <t>XD+c.tạo p.học+p.TH; bs t.bị.</t>
  </si>
  <si>
    <t xml:space="preserve">2988/QĐ-UBND 09/12/2022 </t>
  </si>
  <si>
    <t>Hỗ trợ phát triển hợp tác xã sản xuất và tiêu thụ đường thốt nốt Nhơn Hưng</t>
  </si>
  <si>
    <t>Nhơn Hưng - TB</t>
  </si>
  <si>
    <t>Trạm biến áp, trạm bơm tười</t>
  </si>
  <si>
    <t>2023-2024</t>
  </si>
  <si>
    <t>633/QĐ-SNNPTNT ngày 08/8/2023</t>
  </si>
  <si>
    <t>KDC Biên giới mới Đình Nghĩa, xã An Phú huyện Tịnh Biên</t>
  </si>
  <si>
    <t>Nghị quyết HĐND tỉnh quy định cơ chế lồng ghép nguồn vốn giữa các chương trình mục tiêu quốc gia, giữa các chương trình mục tiêu quốc gia và các chương trình, dự án khác trên địa bàn tỉnh An Giang giai đoạn 2021-2025</t>
  </si>
  <si>
    <t xml:space="preserve"> Nghị quyết 34/2022/NQ-HĐND ngày 12/12/2022</t>
  </si>
  <si>
    <t>Quyết định UBND tỉnh quy định về phân cấp quản lý, tổ chức thực hiện các chương trình mục tiêu quốc gia giai đoạn 2021-2025 trên địa bàn tỉnh An Giang</t>
  </si>
  <si>
    <t>Quyết định số 10/2023/QĐ-UBND ngày 23/3/2023</t>
  </si>
  <si>
    <t>CHƯƠNG TRÌNH MTQG GIẢM NGHÈO BỀN VỮNG</t>
  </si>
  <si>
    <t>Nghị quyết HĐND tỉnh ban hành quy định nguyên tắc, tiêu chí, định mức phân bổ vốn ngân sách nhà nước và tỷ lệ vốn đối ứng của ngân sách địa phương thực hiện Chương trình mục tiêu quốc gia giảm nghèo bền vững giai đoạn 2021-2025 trên địa bàn tỉnh An Giang</t>
  </si>
  <si>
    <t>Nghị quyết số 08/2022/NQ-HĐND ngày 12/7/2022</t>
  </si>
  <si>
    <t>Nghị quyết số 24/2022/NQ-HĐND ngày 11/11/2022</t>
  </si>
  <si>
    <t>Nghị quyết HĐND tỉnh quy định mức chi hỗ trợ một số nội dung giảm nghèo về thông tin thực hiện Chương trình mục tiêu quốc gia giảm nghèo bền vững giai đoạn 2021-2025 trên địa bàn tỉnh An Giang;</t>
  </si>
  <si>
    <t xml:space="preserve"> Nghị quyết số 42/2022/NQ-HĐND ngày 12/12/2022</t>
  </si>
  <si>
    <t>Nghị quyết HĐND tỉnh quy định mức hỗ trợ nhà ở cho hộ nghèo, hộ cận nghèo trên địa bàn huyện nghèo tỉnh An Giang thuộc Chương trình mục tiêu quốc gia giảm nghèo bền vững giai đoạn 2021-2025.</t>
  </si>
  <si>
    <t xml:space="preserve"> Nghị quyết 43/2022/NQ-HĐND ngày 12/12/2022</t>
  </si>
  <si>
    <t>1.3</t>
  </si>
  <si>
    <t>1.4</t>
  </si>
  <si>
    <t>Kế hoạch thực hiện Chương trình mục tiêu quốc gia giảm nghèo
 bền vững tỉnh An Giang giai đoạn 2021-2025</t>
  </si>
  <si>
    <t>Quyết định số 1898/QĐ-UBND ngày 28/7/2022</t>
  </si>
  <si>
    <t>Quyết định số 1979/QĐ-UBND ngày 08/8/2022</t>
  </si>
  <si>
    <t xml:space="preserve">Kế hoạch truyền thông về Chương trình mục tiêu quốc gia
giảm nghèo bền vững giai đoạn 2021 - 2025 trên địa bàn tỉnh An Giang
</t>
  </si>
  <si>
    <t>Quyết định số 2262/QĐ-UBND ngày 07/9/2022</t>
  </si>
  <si>
    <t>Kế hoạch hỗ trợ huyện Tri Tôn tỉnh An Giang thoát khỏi tình trạng nghèo, đặc biệt khó khăn giai đoạn 2022 - 2025</t>
  </si>
  <si>
    <t>Quyết định số 128/QĐ-UBND ngày 10/2/2023</t>
  </si>
  <si>
    <t>Quyết định UBND tỉnh quy định cơ chế quay vòng một phần vốn hỗ trợ phát triển sản xuất cộng đồng thuộc Chương trình mục tiêu quốc gia giảm nghèo bền vững giai đoạn 2021-2025 trên địa bàn tỉnh An Giang.</t>
  </si>
  <si>
    <t>Quyết định số 13/2023/QĐ-UBND ngày 30/3/2023</t>
  </si>
  <si>
    <t>1.5</t>
  </si>
  <si>
    <t>Hướng dẫn giám sát, đánh giá thực hiện Chương trình mục tiêu 
quốc gia giảm nghèo bền vững giai đoạn 2021 - 2025 trên địa bàn tỉnh An Giang</t>
  </si>
  <si>
    <t>Nghị quyết HĐND tỉnh ban hành Quy định nội dung hỗ trợ, mẫu hồ sơ, trình tự, thủ tục lựa chọn dự án, kế hoạch, phương án sản xuất, lựa chọn đơn vị đặt hàng trong thực hiện các hoạt động hỗ trợ phát triển sản xuất thuộc Chương trình mục tiêu quốc gia giảm nghèo bền vững giai đoạn 2021-2025 trên địa bàn tỉnh An Giang;</t>
  </si>
  <si>
    <t>Dự án 4 Phát triển giáo dục nghề nghiệp, việc làm bền vững</t>
  </si>
  <si>
    <t>Tiểu dự án 1.  Phát triển GDNN vùng nghèo, vùng khó khăn,</t>
  </si>
  <si>
    <t>- Dự án: Đầu tư phát triển cơ sở vật chất, thiết bị đào tạo Trường Cao đẳng nghề An Giang</t>
  </si>
  <si>
    <t>Trường Cao đẳng nghề An Giang</t>
  </si>
  <si>
    <t xml:space="preserve">Quyết định số 69/QĐ-UBND ngày 18/01/2023 </t>
  </si>
  <si>
    <t>- Dự án: Đầu tư phát triển cơ sở vật chất, thiết bị đào tạo Trường Cao đẳng Y tế An Giang</t>
  </si>
  <si>
    <t>Trường Cao đẳng Y tế An Giang</t>
  </si>
  <si>
    <t xml:space="preserve">Quyết định số 62/QĐ-SKHĐT ngày 30/5/2023 </t>
  </si>
  <si>
    <t>- Dự án: Đầu tư phát triển cơ sở vật chất, thiết bị đào tạo Trường Trung cấp nghề dân tộc nội trú An Giang</t>
  </si>
  <si>
    <t>Trường Trung cấp nghề dân tộc nội trú An Giang</t>
  </si>
  <si>
    <t>Quyết định số 70/QĐ-UBND ngày 18/01/2023</t>
  </si>
  <si>
    <t>Tiểu Dự án 3. Hỗ trợ việc làm bền vững</t>
  </si>
  <si>
    <t>Nâng cấp Về cơ sở hạ tầng, trang thiết bị công nghệ thông tin để hiện đại hóa hệ thống thông tin thị trường lao động, hình thành sàn giao dịch việc làm trực tuyến và xây dựng các cơ sở dữ liệu thuộc Tiểu dự án (Dự án 4) - Hỗ trợ việc làm bền vững thuộc Chương trình mục tiêu quốc gia giảm nghèo bền vững giai đoạn 2021-2025</t>
  </si>
  <si>
    <t>Trung tâm Dịch vụ việc làm An Giang</t>
  </si>
  <si>
    <t>Quyết định số 109/QĐ-UBND ngày 03/02/2023; Quyết định 96/QĐ-SKHĐT 21/08/2023</t>
  </si>
  <si>
    <t>Dự án 4: Phát triển giáo dục nghề nghiệp, việc làm bền vững</t>
  </si>
  <si>
    <t>CTMTQG GIẢM NGHÈO BỀN VỮNG</t>
  </si>
  <si>
    <t>Dự án 1: Hỗ trợ đầu tư phát triển hạ tầng kinh tế - xã hội các huyện nghèo, các xã đặc biệt khó khăn vùng bãi ngang, ven biển và hải đảo</t>
  </si>
  <si>
    <t>Tiểu dự án 1: Hỗ trợ đầu tư phát triển hạ tầng kinh tế - xã hội các huyện nghèo, xã đặc biệt khó khăn vùng bãi ngang, ven biển và hải đảo</t>
  </si>
  <si>
    <t>UBND 
huyện Tri Tôn đề xuất</t>
  </si>
  <si>
    <t>Tiểu dự án 2: Triển khai Đề án hỗ trợ một số huyện nghèo thoát khỏi tình trạng nghèo, đặc biệt khó khăn giai đoạn 2022 – 2025 do Thủ tướng Chính phủ phê duyệt.</t>
  </si>
  <si>
    <t xml:space="preserve">Dự án 2: Đa dạng hóa sinh kế, phát triển mô hình giảm nghèo </t>
  </si>
  <si>
    <t>UBND cấp huyện
 đề xuất</t>
  </si>
  <si>
    <t xml:space="preserve">Dự án 3: Hỗ trợ phát triển sản xuất, cải thiện dinh dưỡng </t>
  </si>
  <si>
    <t>Tiểu dự án 1: Hỗ trợ phát triển sản xuất trong lĩnh vực nông nghiệp</t>
  </si>
  <si>
    <t>SNNPTNT
 đề xuất</t>
  </si>
  <si>
    <t>Tiểu dự án 2: Cải thiện dinh dưỡng</t>
  </si>
  <si>
    <t>Theo cv 3574</t>
  </si>
  <si>
    <t>IV</t>
  </si>
  <si>
    <t>SLĐTBXH đề xuất</t>
  </si>
  <si>
    <t>Tiểu dự án 2: Hỗ trợ người lao động vùng nghèo, vùng khó khăn đi làm việc theo hợp đồng có thời hạn ở nước ngoài</t>
  </si>
  <si>
    <t>V</t>
  </si>
  <si>
    <t>Dự án 5: Hỗ trợ nhà ở cho hộ nghèo, hộ cận nghèo trên địa bàn các huyện nghèo</t>
  </si>
  <si>
    <t>VI</t>
  </si>
  <si>
    <t>Dự án 6: Truyền thông và giảm nghèo về thông tin</t>
  </si>
  <si>
    <t>Tiểu Dự án 1: Giảm nghèo về thông tin</t>
  </si>
  <si>
    <t>STTTT đề xuất</t>
  </si>
  <si>
    <t>Tiểu Dự án 2: Truyền thông giảm nghèo</t>
  </si>
  <si>
    <t>Dự án 7: Nâng cao năng lực và giám sát, đánh giá thực hiện Chương trình</t>
  </si>
  <si>
    <t>Tiểu Dự án 1: Nâng cao năng lực thực hiện Chương trình</t>
  </si>
  <si>
    <t>Tiểu Dự án : Giám sát, đánh giá</t>
  </si>
  <si>
    <t>VII</t>
  </si>
  <si>
    <t>Dự án 1. hỗ trợ đầu tư phát triển hạ tầng kinh tế - xã hội huyện nghèo</t>
  </si>
  <si>
    <t>Tiểu dự án 1. hỗ trợ đầu tư phát triển hạ tầng kinh tế - xã hội huyện nghèo</t>
  </si>
  <si>
    <t>QĐ số 1084/QĐ-UBND ngày 28/03/2023</t>
  </si>
  <si>
    <t>Nghị quyết HĐND tỉnh ban hành Quy định cơ chế huy động nguồn vốn tín dụng và nguồn vốn hợp pháp khác thực hiện các Chương trình mục tiêu quốc gia trên địa bàn tỉnh An Giang giai đoạn 2021 - 2025</t>
  </si>
  <si>
    <t xml:space="preserve"> Nghị quyết 07/2023/NQ-HĐND ngày 13/7/2023</t>
  </si>
  <si>
    <t>- Xây mới: 10PH và 06 phòng HT, 01 phòng khối
phòng hỗ trợ học tập, một số hạng mục khối phụ trợ, hạ tầng kỹ thuật, công trình nước
sạch.
- Cải tạo: 04 phòng khối phòng HCQT, 03 phòng khối hỗ trợ học
tập, 04 phòng và một số hạng mục khối phụ trợ.</t>
  </si>
  <si>
    <t xml:space="preserve"> 2173/QĐ-UBND 21/9/2021</t>
  </si>
  <si>
    <t>Vốn Kéo dài 1.769 triệu đồng và vốn đề nghị bổ sung 6 tháng cuối năm 523 triệu đông.</t>
  </si>
  <si>
    <t>Cải tạo và XD mới 15p</t>
  </si>
  <si>
    <t xml:space="preserve"> 2099/QĐ-UBND 10/9/2021; 1678/QĐ-UBND 01/7/2022</t>
  </si>
  <si>
    <t>vốn đề nghị bổ sung 6 tháng cuối năm 1.450 triệu đông.</t>
  </si>
  <si>
    <t>Xây mới: khối
phòng nuôi dưỡng và chăm sóc giáo dục trẻ, khối phòng tổ chức ăn, khối phòng
hành chính quản trị, khối phụ trợ, công trình nước sạch; Cải tạo: hạ tầng kỹ
thuật; Trang Thiết bị.</t>
  </si>
  <si>
    <t>488/QĐ-SXD 21/11/2022</t>
  </si>
  <si>
    <t>vốn đề nghị bổ sung 6 tháng cuối năm 212 triệu đông.</t>
  </si>
  <si>
    <t>2841,5m2</t>
  </si>
  <si>
    <t>565/QĐ-UBND 22/12/2022</t>
  </si>
  <si>
    <t>vốn đề nghị bổ sung 6 tháng cuối nămg 2.959 triệu đông.</t>
  </si>
  <si>
    <t>2173,7m2</t>
  </si>
  <si>
    <t>427/QĐ-SXD 24/10/2022</t>
  </si>
  <si>
    <t>Vốn Kéo dài 1.067 triệu đồng và vốn đề nghị bổ sung 6 tháng cuối năm 1.173 triệu đông.</t>
  </si>
  <si>
    <t>Trường MG Vĩnh Xương điểm chính (ấp 2)</t>
  </si>
  <si>
    <t>Xây mới: 02
phòng học, phòng giáo dục nghệ thuật, phòng đa năng, khối phòng tổ chức ăn,
khối phòng hành chính quản trị, khối phụ trợ, công trình nước sạch, hạ tầng kỹ
thuật; Cải tạo: 03 phòng học, phòng giáo dục thể chất, khối phòng hành chính
quản trị; Trang Thiết bị</t>
  </si>
  <si>
    <t>2736/QĐ-UBND 17/11/2021; 1064 ngày 04/7/2023</t>
  </si>
  <si>
    <t>vốn đề nghị bổ sung 6 tháng cuối năm 928 triệu đông.</t>
  </si>
  <si>
    <t xml:space="preserve">XD mới 748m2 và cải tạo
</t>
  </si>
  <si>
    <t>485/QĐ-SXD 15/11/2021</t>
  </si>
  <si>
    <t>Vốn Kéo dài 23 triệu đồng và vốn đề nghị bổ sung 6 tháng cuối năm799 triệu đông.</t>
  </si>
  <si>
    <t>2489m2</t>
  </si>
  <si>
    <t>487/QĐ-SXD 21/11/2022</t>
  </si>
  <si>
    <t>4375m2</t>
  </si>
  <si>
    <t>2830/QĐ-UBND 22/11/2022</t>
  </si>
  <si>
    <t>vốn đề nghị điều chỉnh  6 tháng cuối năm 12.000 triệu đông.</t>
  </si>
  <si>
    <t>Xây dựng mới: 04
phòng học, một số hạng mục thuộc khối phụ trợ, công trình nước sạch, hạ tầng kỹ 
thuật; Cải tạo: 08 phòng học, khu vệ sinh học sinh; Thiết bị</t>
  </si>
  <si>
    <t>168/QĐ-SXD 12/4/2023</t>
  </si>
  <si>
    <t>Vốn Kéo dài 3.000 triệu đồng</t>
  </si>
  <si>
    <t>6297m2</t>
  </si>
  <si>
    <t>61/QĐ-UBND 16/01/2023</t>
  </si>
  <si>
    <t>Vốn Kéo dài 2,000 triệu đồng</t>
  </si>
  <si>
    <t>Xây dựng mới: 02 phòng học, một số hạng mục thuộc khối phụ trợ, công trình nước sạch, hạ tầng kỹ thuật; Cải tạo: 08 phòng học, khu vệ sinh học sinh; Thiết bị.</t>
  </si>
  <si>
    <t>489/QĐ-SXD 21/11/2022</t>
  </si>
  <si>
    <t>Xây dựng mới: 
09 phòng học, một số hạng mục thuộc khối phụ trợ, công trình nước sạch, hạ tầng 
kỹ thuật; Cải tạo: 03 phòng học, khu vệ sinh học sinh; Thiết bị</t>
  </si>
  <si>
    <t>174/QĐ-SXD 13/4/2023</t>
  </si>
  <si>
    <t xml:space="preserve">Cải tạo: 04 phòng
học, một số hạng mục thuộc khối phòng hành chính quản trị, một số hạng mục
thuộc khối phụ trợ, hạ tầng kỹ thuật; Thiết bị.
</t>
  </si>
  <si>
    <t xml:space="preserve">Xây dựng mới:
02 phòng học, một số phòng thuộc khối phòng hành chính quản trị, một số phòng
thuộc khối phòng học tập, một số phòng thuộc khối phòng hỗ trợ học tập, một số
phòng thuộc khối phụ trợ, công trình nước sạch, hạ tầng kỹ thuật; Cải tạo: 09
phòng học, khu vệ sinh học sinh; Thiết bị.
</t>
  </si>
  <si>
    <t>2828/QĐ-UBND 22/11/2022</t>
  </si>
  <si>
    <t>Vốn Kéo dài 2,000 triệu đồng và vốn đề nghị điều chỉnh  6 tháng cuối năm 6.000 triệu đông.</t>
  </si>
  <si>
    <t xml:space="preserve"> Xây mới: 5 phòng học, 01 nhà bếp, 01 p. dành cho nhân viên, công trình nước sạch, HTKT; Cải tạo: 7 phòng hiện trạng thành, 01 p.GD thể chất, 01 p GD nghệ thuật, 01 văn phòng, 01 p họp, 01 p hành chánh, cải tạo nhà kho, 01 p.HP, nhà xe GV, 18 xí HS, 6 xí GV, cổng, hàng rào, nhà bảo vệ, bổ sung thiết bị</t>
  </si>
  <si>
    <t>2829/QĐ-UBND 22/11/2022</t>
  </si>
  <si>
    <t>vốn đề nghị bổ sung 6 tháng cuối năm 1.000 triệu đông.</t>
  </si>
  <si>
    <t>4858m2</t>
  </si>
  <si>
    <t>2737/QĐ-UBND 17/11/2021</t>
  </si>
  <si>
    <t>Vốn Kéo dài 540 triệu đồng và vốn đề nghị bổ sung 6 tháng cuối năm 1.700 triệu đông.</t>
  </si>
  <si>
    <t>Ban QLDA ĐTXD KV TX.Tân Châu</t>
  </si>
  <si>
    <t>Trường TH B Vĩnh Hòa điểm chính (Vĩnh Thạnh Đ)</t>
  </si>
  <si>
    <t>Trường TH A Vĩnh Hòa điểm chính (Vĩnh Thạnh B)</t>
  </si>
  <si>
    <t>Trường MG Tân Thạnh điểm chính mới ( Núi Nổi)</t>
  </si>
  <si>
    <t>Trường TH Phú Lộc điểm phụ (Phú Bình)</t>
  </si>
  <si>
    <t>Trường TH Phú Lộc điểm phụ (Phú Quý)</t>
  </si>
  <si>
    <t xml:space="preserve">Trường TH A Vĩnh Xương điểm phụ (ấp 4) </t>
  </si>
  <si>
    <t xml:space="preserve">Trường MG Lê Chánh điểm chính (Phú Hữu 1) </t>
  </si>
  <si>
    <t>Trường TH Lê Chánh điểm chính (Phú Hữu 2)</t>
  </si>
  <si>
    <t>Trường TH Lê Chánh điểm phụ (Vĩnh Thạnh 1)</t>
  </si>
  <si>
    <t>Trường TH Tân Thạnh điểm chính (Giồng Trà Dên)</t>
  </si>
  <si>
    <t>Trường TH Tân Thạnh điểm phụ (Tân Đông)</t>
  </si>
  <si>
    <t>Trường TH Tân Thạnh điểm phụ (Hòa Tân)</t>
  </si>
  <si>
    <t xml:space="preserve">Trường MG Tân Thạnh điểm phụ (Tân Phú) </t>
  </si>
  <si>
    <t>Trường TH Phú Lộc điểm chính (Phú Yên)</t>
  </si>
  <si>
    <t>Trường MG Phú Lộc điểm chính (ấp Phú Yên)</t>
  </si>
  <si>
    <t xml:space="preserve">Trường TH A Vĩnh Xương điểm chính (ấp 2) </t>
  </si>
  <si>
    <t>Xây dựng mới và cải tạo phòng học và phòng tin học tại các điểm trường  địa bàn thị xã Tân Châu; Mua sắm bổ sung trang thiết bị.</t>
  </si>
  <si>
    <t>Số 670/QĐ-UBND ngày 16/05/2023</t>
  </si>
  <si>
    <t>Dự án ĐTXD cải tạo, sửa chữa nhà vệ sinh và công trình nước sạch cho các trường trên địa bàn thị xã Tân Châu giai đoạn 2021-2025</t>
  </si>
  <si>
    <t>Đầu tư cơ sở vật chất, thiết bị dạy học phục vụ Chương trình giáo dục phổ thông mới giai đoạn 2021-2025 thị xã Tân Châu</t>
  </si>
  <si>
    <t>Xây mới: 02
phòng học và Khối phòng học tập, Khối phòng Hành chính quản trị, Khối phòng hỗ
trợ học tập, Khối phụ trợ, công trình nước sạch; Cải tạo: 12 phòng học, công trình
phụ trợ, hạ tầng kỹ thật; Thiết bị.</t>
  </si>
  <si>
    <t>1895/QĐ-UBND ngày 24/11/2023</t>
  </si>
  <si>
    <t>vốn đề nghị bổ sung 6 tháng cuối năm 7.000 triệu đông.</t>
  </si>
  <si>
    <t>7789m2</t>
  </si>
  <si>
    <t>Xây dựng mới: 21
phòng học, một số phòng thuộc khối phòng hành chính quản trị, một số phòng thuộc
khối phòng học tập, một số phòng thuộc khối phòng hỗ trợ học tập, một số hạng
mục thuộc khối phụ trợ, công trình nước sạch; Cải tạo: 02 phòng học, một số phòng
thuộc khối phòng hành chính quản trị, một số phòng thuộc khối phòng học tập, một
số phòng thuộc khối phòng hỗ trợ học tập, một số hạng mục thuộc khối phụ trợ, hạ
tầng kỹ thuật; Thiết bị</t>
  </si>
  <si>
    <t>Xây dựng mới:
06 phòng học, khối phòng hành chính quản trị, khối phòng học tập, khối phòng hỗ
trợ học tập, khối phụ trợ, công trình nước sạch, hạ tầng kỹ thuật; Thiết bị</t>
  </si>
  <si>
    <t>Xây dựng mới:
10 phòng học, một số phòng thuộc khối phòng học tập, một số phòng thuộc khối
phòng hỗ trợ học tập, một số hạng mục thuộc khối phụ trợ, công trình nước sạch, hạ
tầng kỹ thuật; Cải tạo: khối phòng hành chính quản trị, một số phòng thuộc khối
phòng học tập, một số phòng thuộc khối phòng hỗ trợ học tập, một số hạng mục
thuộc khối phụ trợ; Thiết bị.</t>
  </si>
  <si>
    <t xml:space="preserve">Trường THCS Vĩnh Hòa </t>
  </si>
  <si>
    <t>Trường THCS Tân Thạnh</t>
  </si>
  <si>
    <t>Trường THCS Vĩnh Xương</t>
  </si>
  <si>
    <t>Trường THCS Lê Chánh</t>
  </si>
  <si>
    <t>Trường THCS Phú Lộc</t>
  </si>
  <si>
    <t>21</t>
  </si>
  <si>
    <t>22</t>
  </si>
  <si>
    <t>23</t>
  </si>
  <si>
    <t>24</t>
  </si>
  <si>
    <t>25</t>
  </si>
  <si>
    <t>26</t>
  </si>
  <si>
    <t>27</t>
  </si>
  <si>
    <t>1598m2</t>
  </si>
  <si>
    <t>439/QĐ-SXD 12/11/2021; 67/QĐ-SXD 14/02/2023</t>
  </si>
  <si>
    <t>Vốn kéo dài 603 triệu đồng và vốn đề nghị bổ sung 6 tháng cuối năm 356 triệu đông.</t>
  </si>
  <si>
    <t>1500m2</t>
  </si>
  <si>
    <t>438/QĐ-SXD 12/11/2021; 461/QĐ-SXD 09/10/2023</t>
  </si>
  <si>
    <t>Vốn Kéo dài 28 triệu đồng</t>
  </si>
  <si>
    <t>500m2</t>
  </si>
  <si>
    <t>437/QĐ-SXD 12/11/2021; 450/QĐ-SXD 02/10/2023</t>
  </si>
  <si>
    <t>vốn đề nghị bổ sung 6 tháng cuối năm1.757 triệu đông.</t>
  </si>
  <si>
    <t>Trạm y tế xã Phú Lộc</t>
  </si>
  <si>
    <t>Trạm y tế xã Lê Chánh</t>
  </si>
  <si>
    <t>Trạm Y tế phường Long Thạnh</t>
  </si>
  <si>
    <t xml:space="preserve">Tổng diện tích dự án khoảng 6.651m2 (đã được san lấp bằng phẳng và có hệ thống điện, nước kết nối với khu vực).
- Cải tạo: Hội trường văn hóa đa năng, các phòng chức năng, phòng vệ sinh (lấy cơ sở vật chất Trung tâm học tập cộng đồng xã Tân Thạnh hiện hữu cải tạo lại). 
- Xây dựng mới: Sân bóng đá mini, sân sinh hoạt cộng đồng, 
- Mua sắm trang thiết bị bổ sung.
Tổng diện tích dự án khoảng 6.651m2 (đã được san lấp bằng phẳng và có hệ thống điện, nước kết nối với khu vực).
- Cải tạo: Hội trường văn hóa đa năng, các phòng chức năng, phòng vệ sinh (lấy cơ sở vật chất Trung tâm học tập cộng đồng xã Tân Thạnh hiện hữu cải tạo lại). 
- Xây dựng mới: Sân bóng đá mini, sân sinh hoạt cộng đồng, 
- Mua sắm trang thiết bị bổ sung.
</t>
  </si>
  <si>
    <t>435/QĐ-SXD ngày 21 tháng 9 năm 2023</t>
  </si>
  <si>
    <t>Trung tâm Văn hóa, Thể thao xã Tân Thạnh</t>
  </si>
  <si>
    <t>Cải tạo Đình Long Phú</t>
  </si>
  <si>
    <t>Tuyến kè đầu kênh Vĩnh An (đoạn từ bờ kè đến Chùa Ông)</t>
  </si>
  <si>
    <t>99,24m</t>
  </si>
  <si>
    <t>2656/QĐ-UBND 11/11/2021</t>
  </si>
  <si>
    <t>vốn đề nghị bổ sung 6 tháng cuối năm 5.278 triệu đông để hoàn tạm ứng và thanh toán KL hoàn thành còn lại.</t>
  </si>
  <si>
    <t>Trụ sở Ủy ban nhân dân thị xã Tân Châu</t>
  </si>
  <si>
    <t>Trụ sở làm việc, công trình phụ trợ, HTKT</t>
  </si>
  <si>
    <t>2753/QĐ-UBND 17/11/2021; 1384/QĐ-UBND 29/8/2023</t>
  </si>
  <si>
    <t>vốn đề nghị bổ sung 6 tháng cuối năm 8.419 triệu đông  để hoàn tạm ứng và thanh toán KL hoàn thành còn lại.</t>
  </si>
  <si>
    <t>Trụ sở Thị ủy Tân Châu</t>
  </si>
  <si>
    <t>12051m2</t>
  </si>
  <si>
    <t>GIAO THÔNG</t>
  </si>
  <si>
    <t>BQLDA ĐTXD CT Giao thông và Nông nghiệp</t>
  </si>
  <si>
    <t>Dự  án nâng cấp Đường tỉnh 958 (Tuyến Tri Tôn - Vàm Rầy)</t>
  </si>
  <si>
    <t>18,8km</t>
  </si>
  <si>
    <t xml:space="preserve"> 2817/QĐ-UBND ngày 18/11/2022</t>
  </si>
  <si>
    <t>Đường kênh Long Điền A-B</t>
  </si>
  <si>
    <t>27200m</t>
  </si>
  <si>
    <t>2469/QĐ-UBND 22/10/2020; 1004/QĐ-UBND 13/5/2022</t>
  </si>
  <si>
    <t>UBND huyện Chợ Mới</t>
  </si>
  <si>
    <t>TT-TB</t>
  </si>
  <si>
    <t>20,3km</t>
  </si>
  <si>
    <t>2331/QĐ-UBND 12/10/2021; 1005/QĐ-UBND 13/5/2022; 262/QĐ-UBND 22/02/2024; 474/QĐ-UBND 27/3/2024</t>
  </si>
  <si>
    <t>BQLDA ĐTXD khu vực thị xã Tịnh Biên</t>
  </si>
  <si>
    <t xml:space="preserve">Dự án Đường tỉnh 941 (đoạn nối dài) </t>
  </si>
  <si>
    <t xml:space="preserve">CT </t>
  </si>
  <si>
    <t xml:space="preserve">11800m </t>
  </si>
  <si>
    <t>2022-
2025</t>
  </si>
  <si>
    <t xml:space="preserve">731/QĐ-UBND 26/5/2023 </t>
  </si>
  <si>
    <t>Dự án Nâng cấp ĐT.947</t>
  </si>
  <si>
    <t>CP,CT,TS</t>
  </si>
  <si>
    <t>37,5Km</t>
  </si>
  <si>
    <t>25/NQ-HĐND ngày 22/07/2021</t>
  </si>
  <si>
    <t>Dự án thành phần 1 thuộc dự án đường bộ cao tốc Châu Đốc – Cần Thơ – Sóc Trăng giai đoạn 1</t>
  </si>
  <si>
    <t>NÔNG NGHIỆP, LÂM NGHIỆP, DIÊM NGHIỆP, THỦY LỢI VÀ THỦY SẢN</t>
  </si>
  <si>
    <t>Dự án Kè chống sạt lở sông Tiền bảo vệ dân cư khu vực thị trấn Phú Mỹ, huyện Phú Tân</t>
  </si>
  <si>
    <t>Huyện Phú Tân</t>
  </si>
  <si>
    <t>Tổng chiều dài = 509,3m</t>
  </si>
  <si>
    <t>601/QĐ-UBND ngày 26/3/2022 và QĐ 1706/QĐ-UBND ngày 05/7/2022</t>
  </si>
  <si>
    <t>Tuyến dân cư di dời khẩn cấp vùng sạt lở sông Hậu, xã Châu Phong</t>
  </si>
  <si>
    <t>Tân Châu</t>
  </si>
  <si>
    <t>4,9ha, 221 nền</t>
  </si>
  <si>
    <t>2610/QĐ-UBND 26/10/2022</t>
  </si>
  <si>
    <t xml:space="preserve">BQLDA ĐTXD KV TX Tân Châu </t>
  </si>
  <si>
    <t>KHU CÔNG NGHIỆP VÀ KHU KINH TẾ</t>
  </si>
  <si>
    <t>Trạm kiểm soát liên hợp cửa khẩu Quốc tế Vĩnh Xương</t>
  </si>
  <si>
    <r>
      <rPr>
        <sz val="14"/>
        <rFont val="Times New Roman"/>
        <family val="1"/>
      </rPr>
      <t>79864m</t>
    </r>
    <r>
      <rPr>
        <vertAlign val="superscript"/>
        <sz val="14"/>
        <rFont val="Times New Roman"/>
        <family val="1"/>
      </rPr>
      <t>2</t>
    </r>
  </si>
  <si>
    <t>1342/QĐ-UBND 21/6/2021; 757/QĐ-UBND 18/4/2022; 403/QĐ-UBND 21/3/2024</t>
  </si>
  <si>
    <t>BQL Khu kinh tế</t>
  </si>
  <si>
    <t>Vốn năm 2024, chưa kể vốn tăng thu tiết kiệm chi 1.000.000 tỷ đồng</t>
  </si>
  <si>
    <t>Dự án Tuyến tránh Đường tỉnh 951 (Đoạn từ km11 đến km15)</t>
  </si>
  <si>
    <t>6km</t>
  </si>
  <si>
    <t>UBND huyện Phú Tân</t>
  </si>
  <si>
    <t>Tuyến đường vòng công viên văn hóa Núi Sam</t>
  </si>
  <si>
    <t>3152 m</t>
  </si>
  <si>
    <t>66/QĐ-UBND 05/01/2024</t>
  </si>
  <si>
    <t>16.500.000 EUR</t>
  </si>
  <si>
    <t xml:space="preserve">Áo </t>
  </si>
  <si>
    <t>1024a/QĐ-UBND 16/5/2022; 2041/QĐ-UBND 14/12/2023</t>
  </si>
  <si>
    <t>Vốn đầu tư theo ngành lĩnh vực</t>
  </si>
  <si>
    <t>03 Chương trình MTQG</t>
  </si>
  <si>
    <t>không kể vốn tăng thu tiết kiệm chi ngân sách trung ương</t>
  </si>
  <si>
    <t>KH đầu tư trung hạn giai đoạn 2021-2025 đã giao đến kế hoạch 2024</t>
  </si>
  <si>
    <t>Chương trình MTQG phát triển kinh tế vùng đồng bào dân tộc thiểu số</t>
  </si>
  <si>
    <t>Vốn dự phòng năm 2023 và 2024</t>
  </si>
  <si>
    <t>Vốn ngoài nước</t>
  </si>
  <si>
    <t>Vốn Chương trình phục hồi Phát triển kinh tế - xã hội</t>
  </si>
  <si>
    <t xml:space="preserve">Kế hoạch số 687/KH-UBND ngày 15 tháng 11 năm 2021 thực hiện Chương trình MTQG phát triển kinh tế - xã hội vùng đồng bào dân tộc thiểu số và miền núi giai đoạn 2021-2030, giai đoạn I: từ năm 2021 đến năm 2025 tỉnh An Giang. </t>
  </si>
  <si>
    <t>KH 687/KH-UBND</t>
  </si>
  <si>
    <t xml:space="preserve"> Quyết định 2620/QĐ-UBND ngày 27 tháng 10 năm 2022 của Uỷ ban nhân dân tỉnh về việc ban hành Kế hoạch thực hiện tổng
 thể Chương trình mục tiêu quốc gia phát triển kinh tế - xã hội vùng đồng bào dân tộc thiểu số và miền núi tỉnh An Giang giai đoạn 2021-2030, giai đoạn I: từ năm 2021 đến năm 2025 </t>
  </si>
  <si>
    <t>QĐ2620/QĐ-UBND</t>
  </si>
  <si>
    <t>Quyết 825/QĐ-UBND tỉnh ban hành kế hoạch thực hiện chương trình mục tiêu quốc gia phát triển KTXH vùng đồng bào DTTS và miền núi năm 2024 trên địa bàn tỉnh An Giang</t>
  </si>
  <si>
    <t>QĐ 8258QĐ-UBND</t>
  </si>
  <si>
    <t>Quyết định 2707/QĐ-UBND ngày 08 tháng 11 năm 2022 Ban hành Kế hoạch hướng dẫn kiểm tra, giám sát, đánh giá thực hiện Chương trình mục tiêu quốc gia phát triển kinh tế - xã hội vùng đồng bào dân tộc thiểu số và miền núi giai đoạn 2021-2030, giai đoạn I: từ năm 2021 đến năm 2025.</t>
  </si>
  <si>
    <t>QĐ 2707/QĐ-UND</t>
  </si>
  <si>
    <t>Quyết định 3141/QĐ-UBND ngày 30/12/2021 của UBDN tỉnh thành lập tổ giúp việc Ban chỉ đạo thực hiện chương trình mục tiêu quốc gia phát triển KTXH vùng đồng bào DTTS và MN GD 2021-2030, GDI từ năm 2021 đến năm 2025 trên địa bàn tỉnh AN Giang</t>
  </si>
  <si>
    <t>QĐ3141/QĐ-UBND</t>
  </si>
  <si>
    <t>CHƯƠNG TRÌNH MTQG PHÁT TRIỂN KTXH VÙNG ĐỒNG BÀO DÂN TỘC THIỂU SỐ VÀ MIỀN NÚI</t>
  </si>
  <si>
    <t>PHỤ LỤC II</t>
  </si>
  <si>
    <t>CHI TIẾT TÌNH HÌNH THỰC HIỆN KẾ HOẠCH ĐẦU TƯ CÔNG NĂM 2024
VÀ DỰ KIẾN KẾ HOẠCH ĐẦU TƯ CÔNG NĂM 2025 VỐN NGÂN SÁCH TRUNG ƯƠNG (VỐN TRONG NƯỚC)</t>
  </si>
  <si>
    <t>Phụ lục III</t>
  </si>
  <si>
    <t>PHỤ LỤC IV</t>
  </si>
  <si>
    <t>phụ lục V.1</t>
  </si>
  <si>
    <t>Phụ lục V.3</t>
  </si>
  <si>
    <t>Phụ lục V.5</t>
  </si>
  <si>
    <t>(Kèm theo Công văn số 1080/UBND-KTTH ngày   08  tháng  8  năm 2024 của Ủy ban nhân dân tỉnh An Giang)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</si>
</sst>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_-;\-* #,##0_-;_-* &quot;-&quot;_-;_-@_-"/>
    <numFmt numFmtId="165" formatCode="_-* #,##0.00_-;\-* #,##0.00_-;_-* &quot;-&quot;??_-;_-@_-"/>
    <numFmt numFmtId="166" formatCode="_-* #,##0.00\ _V_N_D_-;\-* #,##0.00\ _V_N_D_-;_-* &quot;-&quot;??\ _V_N_D_-;_-@_-"/>
    <numFmt numFmtId="167" formatCode="_(* #,##0_);_(* \(#,##0\);_(* &quot;-&quot;??_);_(@_)"/>
    <numFmt numFmtId="168" formatCode="_ * #,##0_ ;_ * \-#,##0_ ;_ * &quot;-&quot;??_ ;_ @_ "/>
    <numFmt numFmtId="169" formatCode="0.000%"/>
    <numFmt numFmtId="170" formatCode="_-* #,##0\ _₫_-;\-* #,##0\ _₫_-;_-* &quot;-&quot;??\ _₫_-;_-@_-"/>
    <numFmt numFmtId="171" formatCode="#,##0_ ;\-#,##0\ "/>
    <numFmt numFmtId="172" formatCode="#,##0;[Red]#,##0"/>
    <numFmt numFmtId="173" formatCode="_-* #,##0\ _D_M_-;\-* #,##0\ _D_M_-;_-* &quot;-&quot;\ _D_M_-;_-@_-"/>
  </numFmts>
  <fonts count="60">
    <font>
      <sz val="11"/>
      <color theme="1"/>
      <name val="Calibri"/>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4"/>
      <name val="Times New Roman"/>
      <family val="1"/>
    </font>
    <font>
      <sz val="14"/>
      <color indexed="9"/>
      <name val="Times New Roman"/>
      <family val="1"/>
    </font>
    <font>
      <sz val="14"/>
      <color indexed="8"/>
      <name val="Times New Roman"/>
      <family val="1"/>
    </font>
    <font>
      <sz val="8"/>
      <name val="Calibri"/>
      <family val="2"/>
    </font>
    <font>
      <b/>
      <sz val="14"/>
      <color indexed="8"/>
      <name val="Times New Roman"/>
      <family val="1"/>
    </font>
    <font>
      <sz val="12"/>
      <name val=".VnTime"/>
      <family val="2"/>
    </font>
    <font>
      <u/>
      <sz val="12"/>
      <color indexed="12"/>
      <name val="Times New Roman"/>
      <family val="1"/>
    </font>
    <font>
      <sz val="11"/>
      <color indexed="8"/>
      <name val="Helvetica Neue"/>
    </font>
    <font>
      <b/>
      <i/>
      <sz val="14"/>
      <color indexed="8"/>
      <name val="Times New Roman"/>
      <family val="1"/>
    </font>
    <font>
      <i/>
      <sz val="14"/>
      <color indexed="8"/>
      <name val="Times New Roman"/>
      <family val="1"/>
    </font>
    <font>
      <sz val="14"/>
      <color indexed="8"/>
      <name val="Times New Roman"/>
      <family val="2"/>
    </font>
    <font>
      <b/>
      <vertAlign val="superscript"/>
      <sz val="14"/>
      <name val="Times New Roman"/>
      <family val="1"/>
    </font>
    <font>
      <b/>
      <sz val="14"/>
      <name val="Times New Roman"/>
      <family val="1"/>
      <charset val="163"/>
    </font>
    <font>
      <b/>
      <i/>
      <sz val="14"/>
      <name val="Times New Roman"/>
      <family val="1"/>
      <charset val="163"/>
    </font>
    <font>
      <b/>
      <sz val="14"/>
      <color indexed="8"/>
      <name val="Calibri"/>
      <family val="2"/>
      <charset val="163"/>
    </font>
    <font>
      <b/>
      <i/>
      <sz val="16"/>
      <name val="Times New Roman"/>
      <family val="1"/>
    </font>
    <font>
      <i/>
      <sz val="13"/>
      <name val="Times New Roman"/>
      <family val="1"/>
    </font>
    <font>
      <sz val="11"/>
      <color theme="1"/>
      <name val="Calibri"/>
      <family val="2"/>
      <scheme val="minor"/>
    </font>
    <font>
      <sz val="11"/>
      <color theme="1"/>
      <name val="Arial"/>
      <family val="2"/>
    </font>
    <font>
      <sz val="14"/>
      <color theme="1"/>
      <name val="Times New Roman"/>
      <family val="2"/>
    </font>
    <font>
      <sz val="14"/>
      <color theme="1"/>
      <name val="Times New Roman"/>
      <family val="1"/>
    </font>
    <font>
      <b/>
      <sz val="14"/>
      <color theme="1"/>
      <name val="Times New Roman"/>
      <family val="1"/>
    </font>
    <font>
      <sz val="11"/>
      <color theme="1"/>
      <name val="Times New Roman"/>
      <family val="1"/>
    </font>
    <font>
      <b/>
      <sz val="11"/>
      <color theme="1"/>
      <name val="Calibri"/>
      <family val="2"/>
      <charset val="163"/>
      <scheme val="minor"/>
    </font>
    <font>
      <i/>
      <sz val="14"/>
      <color theme="1"/>
      <name val="Times New Roman"/>
      <family val="1"/>
    </font>
    <font>
      <b/>
      <sz val="14"/>
      <color rgb="FF000000"/>
      <name val="Times New Roman"/>
      <family val="1"/>
    </font>
    <font>
      <sz val="14"/>
      <color rgb="FF000000"/>
      <name val="Microsoft Sans Serif"/>
      <family val="2"/>
    </font>
    <font>
      <sz val="14"/>
      <color rgb="FF000000"/>
      <name val="Times New Roman"/>
      <family val="1"/>
    </font>
    <font>
      <b/>
      <sz val="20"/>
      <name val="Times New Roman"/>
      <family val="1"/>
    </font>
    <font>
      <b/>
      <sz val="22"/>
      <name val="Times New Roman"/>
      <family val="1"/>
    </font>
    <font>
      <i/>
      <sz val="18"/>
      <name val="Times New Roman"/>
      <family val="1"/>
    </font>
    <font>
      <sz val="11"/>
      <color theme="1"/>
      <name val="Calibri"/>
      <family val="2"/>
      <charset val="163"/>
      <scheme val="minor"/>
    </font>
    <font>
      <sz val="12"/>
      <name val="VNI-Times"/>
    </font>
    <font>
      <sz val="8"/>
      <name val="Calibri"/>
      <family val="2"/>
      <scheme val="minor"/>
    </font>
    <font>
      <b/>
      <i/>
      <sz val="14"/>
      <color theme="1"/>
      <name val="Times New Roman"/>
      <family val="1"/>
    </font>
    <font>
      <vertAlign val="superscript"/>
      <sz val="14"/>
      <color theme="1"/>
      <name val="Times New Roman"/>
      <family val="1"/>
    </font>
    <font>
      <sz val="10"/>
      <name val="Arial"/>
      <family val="2"/>
      <charset val="163"/>
    </font>
    <font>
      <b/>
      <sz val="13"/>
      <name val="Times New Roman"/>
      <family val="1"/>
    </font>
    <font>
      <sz val="14"/>
      <name val="Times New Roman"/>
      <family val="1"/>
      <charset val="163"/>
    </font>
    <font>
      <sz val="14"/>
      <color rgb="FFFF0000"/>
      <name val="Times New Roman"/>
      <family val="1"/>
    </font>
    <font>
      <b/>
      <sz val="12"/>
      <name val="Times New Roman"/>
      <family val="1"/>
    </font>
    <font>
      <vertAlign val="superscript"/>
      <sz val="14"/>
      <name val="Times New Roman"/>
      <family val="1"/>
    </font>
    <font>
      <sz val="12"/>
      <name val="Times New Roman"/>
      <family val="1"/>
    </font>
    <font>
      <sz val="11"/>
      <color theme="1"/>
      <name val="Calibri"/>
      <scheme val="minor"/>
    </font>
    <font>
      <i/>
      <sz val="12"/>
      <name val="Times New Roman"/>
      <family val="1"/>
    </font>
    <font>
      <b/>
      <i/>
      <sz val="12"/>
      <name val="Times New Roman"/>
      <family val="1"/>
    </font>
    <font>
      <sz val="14"/>
      <color rgb="FF0070C0"/>
      <name val="Times New Roman"/>
      <family val="1"/>
    </font>
    <font>
      <i/>
      <sz val="16"/>
      <color indexed="8"/>
      <name val="Times New Roman"/>
      <family val="1"/>
    </font>
    <font>
      <i/>
      <sz val="20"/>
      <name val="Times New Roman"/>
      <family val="1"/>
    </font>
    <font>
      <b/>
      <sz val="26"/>
      <name val="Times New Roman"/>
      <family val="1"/>
    </font>
    <font>
      <i/>
      <sz val="26"/>
      <name val="Times New Roman"/>
      <family val="1"/>
    </font>
    <font>
      <b/>
      <sz val="20"/>
      <color theme="1"/>
      <name val="Times New Roman"/>
      <family val="1"/>
    </font>
    <font>
      <i/>
      <sz val="20"/>
      <color theme="1"/>
      <name val="Times New Roman"/>
      <family val="1"/>
    </font>
  </fonts>
  <fills count="3">
    <fill>
      <patternFill patternType="none"/>
    </fill>
    <fill>
      <patternFill patternType="gray125"/>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35">
    <xf numFmtId="0" fontId="0" fillId="0" borderId="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0" fontId="13" fillId="0" borderId="0" applyNumberFormat="0" applyFill="0" applyBorder="0" applyAlignment="0" applyProtection="0">
      <alignment vertical="top"/>
      <protection locked="0"/>
    </xf>
    <xf numFmtId="0" fontId="24" fillId="0" borderId="0"/>
    <xf numFmtId="0" fontId="2" fillId="0" borderId="0"/>
    <xf numFmtId="0" fontId="25" fillId="0" borderId="0"/>
    <xf numFmtId="0" fontId="2" fillId="0" borderId="0"/>
    <xf numFmtId="0" fontId="2" fillId="0" borderId="0"/>
    <xf numFmtId="0" fontId="14" fillId="0" borderId="0" applyNumberFormat="0" applyFill="0" applyBorder="0" applyProtection="0">
      <alignment vertical="top"/>
    </xf>
    <xf numFmtId="0" fontId="12" fillId="0" borderId="0"/>
    <xf numFmtId="0" fontId="1" fillId="0" borderId="0"/>
    <xf numFmtId="0" fontId="2" fillId="0" borderId="0"/>
    <xf numFmtId="9" fontId="2" fillId="0" borderId="0" applyFont="0" applyFill="0" applyBorder="0" applyAlignment="0" applyProtection="0"/>
    <xf numFmtId="165" fontId="24" fillId="0" borderId="0" applyFont="0" applyFill="0" applyBorder="0" applyAlignment="0" applyProtection="0"/>
    <xf numFmtId="169" fontId="1" fillId="0" borderId="0" applyFont="0" applyFill="0" applyBorder="0" applyAlignment="0" applyProtection="0"/>
    <xf numFmtId="0" fontId="24" fillId="0" borderId="0"/>
    <xf numFmtId="0" fontId="24" fillId="0" borderId="0"/>
    <xf numFmtId="0" fontId="2" fillId="0" borderId="0"/>
    <xf numFmtId="0" fontId="2" fillId="0" borderId="0"/>
    <xf numFmtId="0" fontId="2" fillId="0" borderId="0"/>
    <xf numFmtId="43" fontId="24" fillId="0" borderId="0" applyFont="0" applyFill="0" applyBorder="0" applyAlignment="0" applyProtection="0"/>
    <xf numFmtId="43" fontId="7" fillId="0" borderId="0" applyFont="0" applyFill="0" applyBorder="0" applyAlignment="0" applyProtection="0"/>
    <xf numFmtId="0" fontId="39" fillId="0" borderId="0"/>
    <xf numFmtId="43" fontId="1" fillId="0" borderId="0" applyFont="0" applyFill="0" applyBorder="0" applyAlignment="0" applyProtection="0"/>
    <xf numFmtId="164" fontId="24" fillId="0" borderId="0" applyFont="0" applyFill="0" applyBorder="0" applyAlignment="0" applyProtection="0"/>
    <xf numFmtId="173" fontId="1" fillId="0" borderId="0" applyFont="0" applyFill="0" applyBorder="0" applyAlignment="0" applyProtection="0"/>
    <xf numFmtId="43" fontId="43" fillId="0" borderId="0" applyFont="0" applyFill="0" applyBorder="0" applyAlignment="0" applyProtection="0"/>
    <xf numFmtId="0" fontId="24" fillId="0" borderId="0"/>
    <xf numFmtId="43" fontId="38" fillId="0" borderId="0" applyFont="0" applyFill="0" applyBorder="0" applyAlignment="0" applyProtection="0"/>
    <xf numFmtId="43" fontId="1" fillId="0" borderId="0" applyFont="0" applyFill="0" applyBorder="0" applyAlignment="0" applyProtection="0"/>
    <xf numFmtId="0" fontId="7" fillId="0" borderId="0"/>
    <xf numFmtId="43" fontId="50" fillId="0" borderId="0" applyFont="0" applyFill="0" applyBorder="0" applyAlignment="0" applyProtection="0"/>
  </cellStyleXfs>
  <cellXfs count="571">
    <xf numFmtId="0" fontId="0" fillId="0" borderId="0" xfId="0"/>
    <xf numFmtId="1" fontId="3" fillId="0" borderId="0" xfId="14" applyNumberFormat="1" applyFont="1" applyAlignment="1">
      <alignment vertical="center"/>
    </xf>
    <xf numFmtId="1" fontId="4" fillId="0" borderId="0" xfId="14" applyNumberFormat="1" applyFont="1" applyAlignment="1">
      <alignment vertical="center"/>
    </xf>
    <xf numFmtId="1" fontId="5" fillId="0" borderId="0" xfId="14" applyNumberFormat="1" applyFont="1" applyAlignment="1">
      <alignment vertical="center"/>
    </xf>
    <xf numFmtId="1" fontId="7" fillId="0" borderId="0" xfId="14" applyNumberFormat="1" applyFont="1" applyAlignment="1">
      <alignment vertical="center"/>
    </xf>
    <xf numFmtId="1" fontId="8" fillId="0" borderId="0" xfId="14" applyNumberFormat="1" applyFont="1" applyAlignment="1">
      <alignment vertical="center"/>
    </xf>
    <xf numFmtId="3" fontId="7" fillId="0" borderId="1" xfId="14" applyNumberFormat="1" applyFont="1" applyBorder="1" applyAlignment="1">
      <alignment horizontal="center" vertical="center" wrapText="1"/>
    </xf>
    <xf numFmtId="3" fontId="7" fillId="0" borderId="0" xfId="14" applyNumberFormat="1" applyFont="1" applyAlignment="1">
      <alignment horizontal="center" vertical="center" wrapText="1"/>
    </xf>
    <xf numFmtId="3" fontId="7" fillId="0" borderId="1" xfId="14" quotePrefix="1" applyNumberFormat="1" applyFont="1" applyBorder="1" applyAlignment="1">
      <alignment horizontal="center" vertical="center" wrapText="1"/>
    </xf>
    <xf numFmtId="3" fontId="7" fillId="0" borderId="0" xfId="14" applyNumberFormat="1" applyFont="1" applyAlignment="1">
      <alignment vertical="center" wrapText="1"/>
    </xf>
    <xf numFmtId="1" fontId="7" fillId="0" borderId="0" xfId="14" applyNumberFormat="1" applyFont="1" applyAlignment="1">
      <alignment vertical="center" wrapText="1"/>
    </xf>
    <xf numFmtId="1" fontId="7" fillId="0" borderId="0" xfId="14" applyNumberFormat="1" applyFont="1" applyAlignment="1">
      <alignment horizontal="center" vertical="center" wrapText="1"/>
    </xf>
    <xf numFmtId="1" fontId="7" fillId="0" borderId="0" xfId="14" applyNumberFormat="1" applyFont="1" applyAlignment="1">
      <alignment horizontal="right" vertical="center"/>
    </xf>
    <xf numFmtId="1" fontId="7" fillId="0" borderId="0" xfId="14" applyNumberFormat="1" applyFont="1" applyAlignment="1">
      <alignment horizontal="center" vertical="center"/>
    </xf>
    <xf numFmtId="49" fontId="7" fillId="0" borderId="0" xfId="14" applyNumberFormat="1" applyFont="1" applyAlignment="1">
      <alignment horizontal="center" vertical="center"/>
    </xf>
    <xf numFmtId="49" fontId="7" fillId="0" borderId="0" xfId="14" applyNumberFormat="1" applyFont="1" applyAlignment="1">
      <alignment vertical="center"/>
    </xf>
    <xf numFmtId="3" fontId="4" fillId="0" borderId="0" xfId="14" applyNumberFormat="1" applyFont="1" applyAlignment="1">
      <alignment vertical="center" wrapText="1"/>
    </xf>
    <xf numFmtId="0" fontId="7" fillId="0" borderId="1" xfId="14" applyFont="1" applyBorder="1" applyAlignment="1">
      <alignment horizontal="center" vertical="center" wrapText="1"/>
    </xf>
    <xf numFmtId="0" fontId="11" fillId="0" borderId="0" xfId="0" applyFont="1" applyAlignment="1">
      <alignment vertical="center" wrapText="1"/>
    </xf>
    <xf numFmtId="49" fontId="7" fillId="0" borderId="2" xfId="14" applyNumberFormat="1" applyFont="1" applyBorder="1" applyAlignment="1">
      <alignment horizontal="center" vertical="center"/>
    </xf>
    <xf numFmtId="1" fontId="7" fillId="0" borderId="2" xfId="14" applyNumberFormat="1" applyFont="1" applyBorder="1" applyAlignment="1">
      <alignment vertical="center" wrapText="1"/>
    </xf>
    <xf numFmtId="1" fontId="7" fillId="0" borderId="2" xfId="14" applyNumberFormat="1" applyFont="1" applyBorder="1" applyAlignment="1">
      <alignment horizontal="center" vertical="center" wrapText="1"/>
    </xf>
    <xf numFmtId="1" fontId="7" fillId="0" borderId="2" xfId="14" applyNumberFormat="1" applyFont="1" applyBorder="1" applyAlignment="1">
      <alignment horizontal="right"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49" fontId="11" fillId="0" borderId="1" xfId="0" applyNumberFormat="1" applyFont="1" applyBorder="1" applyAlignment="1">
      <alignment vertical="center" wrapText="1"/>
    </xf>
    <xf numFmtId="49" fontId="9" fillId="0" borderId="1" xfId="0" applyNumberFormat="1" applyFont="1" applyBorder="1" applyAlignment="1">
      <alignment vertical="center" wrapText="1"/>
    </xf>
    <xf numFmtId="49" fontId="9" fillId="0" borderId="1" xfId="0" quotePrefix="1" applyNumberFormat="1" applyFont="1" applyBorder="1" applyAlignment="1">
      <alignment vertical="center" wrapText="1"/>
    </xf>
    <xf numFmtId="0" fontId="11" fillId="0" borderId="1" xfId="0" applyFont="1" applyBorder="1" applyAlignment="1">
      <alignment horizontal="left" vertical="center" wrapText="1"/>
    </xf>
    <xf numFmtId="49" fontId="4" fillId="0" borderId="0" xfId="14" applyNumberFormat="1" applyFont="1" applyAlignment="1">
      <alignment vertical="center"/>
    </xf>
    <xf numFmtId="1" fontId="4" fillId="0" borderId="0" xfId="14" applyNumberFormat="1" applyFont="1" applyAlignment="1">
      <alignment horizontal="right" vertical="center"/>
    </xf>
    <xf numFmtId="0" fontId="26" fillId="0" borderId="0" xfId="0" applyFont="1" applyAlignment="1">
      <alignment vertical="center" wrapText="1" readingOrder="1"/>
    </xf>
    <xf numFmtId="0" fontId="17" fillId="0" borderId="0" xfId="0" applyFont="1" applyAlignment="1">
      <alignment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1" xfId="0" applyFont="1" applyBorder="1" applyAlignment="1">
      <alignment vertical="center" wrapText="1"/>
    </xf>
    <xf numFmtId="0" fontId="17" fillId="0" borderId="1"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27" fillId="0" borderId="0" xfId="0" applyFont="1"/>
    <xf numFmtId="49" fontId="7" fillId="0" borderId="3" xfId="14" quotePrefix="1" applyNumberFormat="1" applyFont="1" applyBorder="1" applyAlignment="1">
      <alignment horizontal="center" vertical="center" wrapText="1"/>
    </xf>
    <xf numFmtId="3" fontId="4" fillId="0" borderId="3" xfId="14" applyNumberFormat="1" applyFont="1" applyBorder="1" applyAlignment="1">
      <alignment horizontal="center" vertical="center" wrapText="1"/>
    </xf>
    <xf numFmtId="3" fontId="7" fillId="0" borderId="3" xfId="14" quotePrefix="1" applyNumberFormat="1" applyFont="1" applyBorder="1" applyAlignment="1">
      <alignment horizontal="center" vertical="center" wrapText="1"/>
    </xf>
    <xf numFmtId="49" fontId="4" fillId="0" borderId="4" xfId="14" applyNumberFormat="1" applyFont="1" applyBorder="1" applyAlignment="1">
      <alignment horizontal="center" vertical="center" wrapText="1"/>
    </xf>
    <xf numFmtId="1" fontId="4" fillId="0" borderId="4" xfId="14" applyNumberFormat="1" applyFont="1" applyBorder="1" applyAlignment="1">
      <alignment horizontal="left" vertical="center" wrapText="1"/>
    </xf>
    <xf numFmtId="3" fontId="7" fillId="0" borderId="4" xfId="14" quotePrefix="1" applyNumberFormat="1" applyFont="1" applyBorder="1" applyAlignment="1">
      <alignment horizontal="center" vertical="center" wrapText="1"/>
    </xf>
    <xf numFmtId="1" fontId="4" fillId="0" borderId="4" xfId="14" applyNumberFormat="1" applyFont="1" applyBorder="1" applyAlignment="1">
      <alignment horizontal="center" vertical="center"/>
    </xf>
    <xf numFmtId="1" fontId="7" fillId="0" borderId="4" xfId="14" quotePrefix="1" applyNumberFormat="1" applyFont="1" applyBorder="1" applyAlignment="1">
      <alignment horizontal="center" vertical="center"/>
    </xf>
    <xf numFmtId="1" fontId="7" fillId="0" borderId="4" xfId="14" applyNumberFormat="1" applyFont="1" applyBorder="1" applyAlignment="1">
      <alignment vertical="center" wrapText="1"/>
    </xf>
    <xf numFmtId="1" fontId="7" fillId="0" borderId="4" xfId="14" applyNumberFormat="1" applyFont="1" applyBorder="1" applyAlignment="1">
      <alignment horizontal="center" vertical="center"/>
    </xf>
    <xf numFmtId="1" fontId="7" fillId="0" borderId="4" xfId="14" quotePrefix="1" applyNumberFormat="1" applyFont="1" applyBorder="1" applyAlignment="1">
      <alignment vertical="center" wrapText="1"/>
    </xf>
    <xf numFmtId="49" fontId="4" fillId="0" borderId="4" xfId="14" applyNumberFormat="1" applyFont="1" applyBorder="1" applyAlignment="1">
      <alignment horizontal="center" vertical="center"/>
    </xf>
    <xf numFmtId="1" fontId="4" fillId="0" borderId="4" xfId="14" applyNumberFormat="1" applyFont="1" applyBorder="1" applyAlignment="1">
      <alignment vertical="center" wrapText="1"/>
    </xf>
    <xf numFmtId="1" fontId="4" fillId="0" borderId="4" xfId="14" applyNumberFormat="1" applyFont="1" applyBorder="1" applyAlignment="1">
      <alignment horizontal="center" vertical="center" wrapText="1"/>
    </xf>
    <xf numFmtId="1" fontId="4" fillId="0" borderId="4" xfId="14" applyNumberFormat="1" applyFont="1" applyBorder="1" applyAlignment="1">
      <alignment horizontal="right" vertical="center"/>
    </xf>
    <xf numFmtId="49" fontId="5" fillId="0" borderId="4" xfId="14" applyNumberFormat="1" applyFont="1" applyBorder="1" applyAlignment="1">
      <alignment horizontal="center" vertical="center"/>
    </xf>
    <xf numFmtId="1" fontId="5" fillId="0" borderId="4" xfId="14" applyNumberFormat="1" applyFont="1" applyBorder="1" applyAlignment="1">
      <alignment vertical="center" wrapText="1"/>
    </xf>
    <xf numFmtId="1" fontId="5" fillId="0" borderId="4" xfId="14" applyNumberFormat="1" applyFont="1" applyBorder="1" applyAlignment="1">
      <alignment horizontal="center" vertical="center" wrapText="1"/>
    </xf>
    <xf numFmtId="1" fontId="5" fillId="0" borderId="4" xfId="14" applyNumberFormat="1" applyFont="1" applyBorder="1" applyAlignment="1">
      <alignment horizontal="right" vertical="center"/>
    </xf>
    <xf numFmtId="49" fontId="7" fillId="0" borderId="4" xfId="14" applyNumberFormat="1" applyFont="1" applyBorder="1" applyAlignment="1">
      <alignment horizontal="center" vertical="center"/>
    </xf>
    <xf numFmtId="1" fontId="7" fillId="0" borderId="4" xfId="14" applyNumberFormat="1" applyFont="1" applyBorder="1" applyAlignment="1">
      <alignment horizontal="center" vertical="center" wrapText="1"/>
    </xf>
    <xf numFmtId="1" fontId="7" fillId="0" borderId="4" xfId="14" applyNumberFormat="1" applyFont="1" applyBorder="1" applyAlignment="1">
      <alignment horizontal="right" vertical="center"/>
    </xf>
    <xf numFmtId="49" fontId="7" fillId="0" borderId="5" xfId="14" applyNumberFormat="1" applyFont="1" applyBorder="1" applyAlignment="1">
      <alignment horizontal="center" vertical="center"/>
    </xf>
    <xf numFmtId="1" fontId="4" fillId="0" borderId="5" xfId="14" applyNumberFormat="1" applyFont="1" applyBorder="1" applyAlignment="1">
      <alignment vertical="center" wrapText="1"/>
    </xf>
    <xf numFmtId="1" fontId="7" fillId="0" borderId="5" xfId="14" applyNumberFormat="1" applyFont="1" applyBorder="1" applyAlignment="1">
      <alignment horizontal="center" vertical="center" wrapText="1"/>
    </xf>
    <xf numFmtId="1" fontId="7" fillId="0" borderId="5" xfId="14" applyNumberFormat="1" applyFont="1" applyBorder="1" applyAlignment="1">
      <alignment horizontal="right" vertical="center"/>
    </xf>
    <xf numFmtId="3" fontId="4" fillId="0" borderId="4" xfId="14" applyNumberFormat="1" applyFont="1" applyBorder="1" applyAlignment="1">
      <alignment horizontal="center" vertical="center" wrapText="1"/>
    </xf>
    <xf numFmtId="1" fontId="7" fillId="0" borderId="4" xfId="14" applyNumberFormat="1" applyFont="1" applyBorder="1" applyAlignment="1">
      <alignment vertical="center"/>
    </xf>
    <xf numFmtId="1" fontId="3" fillId="0" borderId="4" xfId="14" applyNumberFormat="1" applyFont="1" applyBorder="1" applyAlignment="1">
      <alignment horizontal="center" vertical="center" wrapText="1"/>
    </xf>
    <xf numFmtId="1" fontId="3" fillId="0" borderId="4" xfId="14" applyNumberFormat="1" applyFont="1" applyBorder="1" applyAlignment="1">
      <alignment horizontal="right" vertical="center"/>
    </xf>
    <xf numFmtId="3" fontId="4" fillId="0" borderId="5" xfId="14" quotePrefix="1" applyNumberFormat="1" applyFont="1" applyBorder="1" applyAlignment="1">
      <alignment horizontal="center" vertical="center" wrapText="1"/>
    </xf>
    <xf numFmtId="3" fontId="4" fillId="0" borderId="5" xfId="14" applyNumberFormat="1" applyFont="1" applyBorder="1" applyAlignment="1">
      <alignment horizontal="center" vertical="center" wrapText="1"/>
    </xf>
    <xf numFmtId="3" fontId="7" fillId="0" borderId="3" xfId="14" applyNumberFormat="1" applyFont="1" applyBorder="1" applyAlignment="1">
      <alignment vertical="center" wrapText="1"/>
    </xf>
    <xf numFmtId="1" fontId="4" fillId="0" borderId="4" xfId="14" applyNumberFormat="1" applyFont="1" applyBorder="1" applyAlignment="1">
      <alignment vertical="center"/>
    </xf>
    <xf numFmtId="1" fontId="5" fillId="0" borderId="4" xfId="14" applyNumberFormat="1" applyFont="1" applyBorder="1" applyAlignment="1">
      <alignment vertical="center"/>
    </xf>
    <xf numFmtId="1" fontId="7" fillId="0" borderId="5" xfId="14" applyNumberFormat="1" applyFont="1" applyBorder="1" applyAlignment="1">
      <alignment vertical="center"/>
    </xf>
    <xf numFmtId="3" fontId="20" fillId="0" borderId="1" xfId="14" applyNumberFormat="1" applyFont="1" applyBorder="1" applyAlignment="1">
      <alignment horizontal="center" vertical="center" wrapText="1"/>
    </xf>
    <xf numFmtId="3" fontId="4" fillId="0" borderId="1" xfId="14" applyNumberFormat="1" applyFont="1" applyBorder="1" applyAlignment="1">
      <alignment horizontal="center" vertical="center" wrapText="1"/>
    </xf>
    <xf numFmtId="0" fontId="32" fillId="2" borderId="1" xfId="0" applyFont="1" applyFill="1" applyBorder="1" applyAlignment="1">
      <alignment horizontal="center" vertical="center" wrapText="1"/>
    </xf>
    <xf numFmtId="0" fontId="7" fillId="0" borderId="3" xfId="14" applyFont="1" applyBorder="1" applyAlignment="1">
      <alignment horizontal="center" vertical="center" wrapText="1"/>
    </xf>
    <xf numFmtId="49" fontId="7" fillId="0" borderId="4" xfId="14" quotePrefix="1" applyNumberFormat="1" applyFont="1" applyBorder="1" applyAlignment="1">
      <alignment horizontal="center" vertical="center" wrapText="1"/>
    </xf>
    <xf numFmtId="3" fontId="7" fillId="0" borderId="4" xfId="14" applyNumberFormat="1" applyFont="1" applyBorder="1" applyAlignment="1">
      <alignment vertical="center" wrapText="1"/>
    </xf>
    <xf numFmtId="49" fontId="7" fillId="0" borderId="4" xfId="14" applyNumberFormat="1" applyFont="1" applyBorder="1" applyAlignment="1">
      <alignment vertical="center"/>
    </xf>
    <xf numFmtId="49" fontId="7" fillId="0" borderId="5" xfId="14" applyNumberFormat="1" applyFont="1" applyBorder="1" applyAlignment="1">
      <alignment vertical="center"/>
    </xf>
    <xf numFmtId="0" fontId="32" fillId="2" borderId="1" xfId="0" applyFont="1" applyFill="1" applyBorder="1" applyAlignment="1">
      <alignment vertical="center" wrapText="1"/>
    </xf>
    <xf numFmtId="0" fontId="27" fillId="0" borderId="0" xfId="0" applyFont="1" applyAlignment="1">
      <alignment vertical="top"/>
    </xf>
    <xf numFmtId="164" fontId="27" fillId="0" borderId="4" xfId="27" applyFont="1" applyFill="1" applyBorder="1" applyAlignment="1">
      <alignment horizontal="center" vertical="center"/>
    </xf>
    <xf numFmtId="170" fontId="27" fillId="0" borderId="4" xfId="16" applyNumberFormat="1" applyFont="1" applyFill="1" applyBorder="1" applyAlignment="1">
      <alignment horizontal="center" vertical="center"/>
    </xf>
    <xf numFmtId="170" fontId="27" fillId="0" borderId="4" xfId="16" applyNumberFormat="1" applyFont="1" applyFill="1" applyBorder="1" applyAlignment="1">
      <alignment vertical="center" wrapText="1"/>
    </xf>
    <xf numFmtId="170" fontId="27" fillId="0" borderId="4" xfId="16" applyNumberFormat="1" applyFont="1" applyFill="1" applyBorder="1" applyAlignment="1">
      <alignment horizontal="center" vertical="center" wrapText="1"/>
    </xf>
    <xf numFmtId="170" fontId="27" fillId="0" borderId="4" xfId="16" applyNumberFormat="1" applyFont="1" applyFill="1" applyBorder="1" applyAlignment="1">
      <alignment horizontal="right" vertical="center"/>
    </xf>
    <xf numFmtId="164" fontId="27" fillId="0" borderId="4" xfId="27" applyFont="1" applyFill="1" applyBorder="1" applyAlignment="1">
      <alignment horizontal="right" vertical="center"/>
    </xf>
    <xf numFmtId="167" fontId="27" fillId="0" borderId="4" xfId="23" applyNumberFormat="1" applyFont="1" applyFill="1" applyBorder="1" applyAlignment="1">
      <alignment vertical="center"/>
    </xf>
    <xf numFmtId="3" fontId="27" fillId="0" borderId="4" xfId="28" applyNumberFormat="1" applyFont="1" applyFill="1" applyBorder="1" applyAlignment="1">
      <alignment horizontal="right" vertical="center" wrapText="1"/>
    </xf>
    <xf numFmtId="167" fontId="27" fillId="0" borderId="4" xfId="23" applyNumberFormat="1" applyFont="1" applyFill="1" applyBorder="1" applyAlignment="1">
      <alignment horizontal="center" vertical="center" wrapText="1"/>
    </xf>
    <xf numFmtId="167" fontId="27" fillId="0" borderId="4" xfId="23" quotePrefix="1" applyNumberFormat="1" applyFont="1" applyFill="1" applyBorder="1" applyAlignment="1">
      <alignment horizontal="center" vertical="center" wrapText="1"/>
    </xf>
    <xf numFmtId="168" fontId="27" fillId="0" borderId="4" xfId="23" applyNumberFormat="1" applyFont="1" applyFill="1" applyBorder="1" applyAlignment="1">
      <alignment horizontal="center" vertical="center" wrapText="1"/>
    </xf>
    <xf numFmtId="167" fontId="27" fillId="0" borderId="4" xfId="23" applyNumberFormat="1" applyFont="1" applyFill="1" applyBorder="1" applyAlignment="1">
      <alignment horizontal="center" wrapText="1"/>
    </xf>
    <xf numFmtId="167" fontId="27" fillId="0" borderId="4" xfId="23" applyNumberFormat="1" applyFont="1" applyFill="1" applyBorder="1" applyAlignment="1">
      <alignment horizontal="right" vertical="center" wrapText="1"/>
    </xf>
    <xf numFmtId="168" fontId="27" fillId="0" borderId="4" xfId="23" applyNumberFormat="1" applyFont="1" applyFill="1" applyBorder="1" applyAlignment="1">
      <alignment horizontal="center" vertical="center"/>
    </xf>
    <xf numFmtId="167" fontId="27" fillId="0" borderId="4" xfId="23" applyNumberFormat="1" applyFont="1" applyFill="1" applyBorder="1" applyAlignment="1">
      <alignment horizontal="right" vertical="center"/>
    </xf>
    <xf numFmtId="168" fontId="27" fillId="0" borderId="4" xfId="23" applyNumberFormat="1" applyFont="1" applyFill="1" applyBorder="1" applyAlignment="1">
      <alignment vertical="center"/>
    </xf>
    <xf numFmtId="167" fontId="27" fillId="0" borderId="4" xfId="23" applyNumberFormat="1" applyFont="1" applyFill="1" applyBorder="1" applyAlignment="1">
      <alignment vertical="center" wrapText="1"/>
    </xf>
    <xf numFmtId="168" fontId="41" fillId="0" borderId="4" xfId="23" applyNumberFormat="1" applyFont="1" applyFill="1" applyBorder="1" applyAlignment="1">
      <alignment horizontal="center" vertical="center" wrapText="1"/>
    </xf>
    <xf numFmtId="3" fontId="27" fillId="0" borderId="4" xfId="23" applyNumberFormat="1" applyFont="1" applyFill="1" applyBorder="1" applyAlignment="1">
      <alignment horizontal="right" vertical="center"/>
    </xf>
    <xf numFmtId="170" fontId="28" fillId="0" borderId="4" xfId="16" quotePrefix="1" applyNumberFormat="1" applyFont="1" applyFill="1" applyBorder="1" applyAlignment="1">
      <alignment horizontal="right" vertical="center" wrapText="1"/>
    </xf>
    <xf numFmtId="170" fontId="41" fillId="0" borderId="4" xfId="16" quotePrefix="1" applyNumberFormat="1" applyFont="1" applyFill="1" applyBorder="1" applyAlignment="1">
      <alignment horizontal="right" vertical="center" wrapText="1"/>
    </xf>
    <xf numFmtId="170" fontId="27" fillId="0" borderId="4" xfId="16" quotePrefix="1" applyNumberFormat="1" applyFont="1" applyFill="1" applyBorder="1" applyAlignment="1">
      <alignment horizontal="right" vertical="center" wrapText="1"/>
    </xf>
    <xf numFmtId="167" fontId="28" fillId="0" borderId="4" xfId="16" quotePrefix="1" applyNumberFormat="1" applyFont="1" applyFill="1" applyBorder="1" applyAlignment="1">
      <alignment horizontal="center" vertical="center" wrapText="1"/>
    </xf>
    <xf numFmtId="167" fontId="28" fillId="0" borderId="4" xfId="16" applyNumberFormat="1" applyFont="1" applyFill="1" applyBorder="1" applyAlignment="1">
      <alignment horizontal="right" vertical="center"/>
    </xf>
    <xf numFmtId="167" fontId="41" fillId="0" borderId="4" xfId="16" applyNumberFormat="1" applyFont="1" applyFill="1" applyBorder="1" applyAlignment="1">
      <alignment horizontal="right" vertical="center"/>
    </xf>
    <xf numFmtId="167" fontId="27" fillId="0" borderId="4" xfId="16" applyNumberFormat="1" applyFont="1" applyFill="1" applyBorder="1" applyAlignment="1">
      <alignment horizontal="right" vertical="center"/>
    </xf>
    <xf numFmtId="167" fontId="27" fillId="0" borderId="1" xfId="23" applyNumberFormat="1" applyFont="1" applyFill="1" applyBorder="1" applyAlignment="1">
      <alignment vertical="center"/>
    </xf>
    <xf numFmtId="3" fontId="27" fillId="0" borderId="4" xfId="23" quotePrefix="1" applyNumberFormat="1" applyFont="1" applyFill="1" applyBorder="1" applyAlignment="1">
      <alignment horizontal="right" vertical="center" wrapText="1"/>
    </xf>
    <xf numFmtId="167" fontId="28" fillId="0" borderId="4" xfId="16" applyNumberFormat="1" applyFont="1" applyFill="1" applyBorder="1" applyAlignment="1">
      <alignment horizontal="right" vertical="center" wrapText="1"/>
    </xf>
    <xf numFmtId="167" fontId="41" fillId="0" borderId="4" xfId="16" applyNumberFormat="1" applyFont="1" applyFill="1" applyBorder="1" applyAlignment="1">
      <alignment horizontal="right" vertical="center" wrapText="1"/>
    </xf>
    <xf numFmtId="167" fontId="31" fillId="0" borderId="4" xfId="16" applyNumberFormat="1" applyFont="1" applyFill="1" applyBorder="1" applyAlignment="1">
      <alignment horizontal="right" vertical="center"/>
    </xf>
    <xf numFmtId="170" fontId="27" fillId="0" borderId="4" xfId="16" applyNumberFormat="1" applyFont="1" applyFill="1" applyBorder="1" applyAlignment="1">
      <alignment horizontal="right" vertical="center" wrapText="1"/>
    </xf>
    <xf numFmtId="170" fontId="28" fillId="0" borderId="4" xfId="16" applyNumberFormat="1" applyFont="1" applyFill="1" applyBorder="1" applyAlignment="1">
      <alignment horizontal="right" vertical="center" wrapText="1"/>
    </xf>
    <xf numFmtId="170" fontId="41" fillId="0" borderId="4" xfId="16" applyNumberFormat="1" applyFont="1" applyFill="1" applyBorder="1" applyAlignment="1">
      <alignment horizontal="right" vertical="center" wrapText="1"/>
    </xf>
    <xf numFmtId="167" fontId="27" fillId="0" borderId="4" xfId="16" quotePrefix="1" applyNumberFormat="1" applyFont="1" applyFill="1" applyBorder="1" applyAlignment="1">
      <alignment horizontal="center" vertical="center" wrapText="1"/>
    </xf>
    <xf numFmtId="168" fontId="27" fillId="0" borderId="4" xfId="16" applyNumberFormat="1" applyFont="1" applyFill="1" applyBorder="1" applyAlignment="1">
      <alignment horizontal="right" vertical="center"/>
    </xf>
    <xf numFmtId="167" fontId="27" fillId="0" borderId="4" xfId="16" applyNumberFormat="1" applyFont="1" applyFill="1" applyBorder="1" applyAlignment="1">
      <alignment horizontal="right" vertical="center" wrapText="1"/>
    </xf>
    <xf numFmtId="3" fontId="27" fillId="0" borderId="4" xfId="17" applyNumberFormat="1" applyFont="1" applyFill="1" applyBorder="1" applyAlignment="1">
      <alignment horizontal="right" vertical="center" wrapText="1"/>
    </xf>
    <xf numFmtId="3" fontId="27" fillId="0" borderId="4" xfId="23" applyNumberFormat="1" applyFont="1" applyFill="1" applyBorder="1" applyAlignment="1">
      <alignment horizontal="center" vertical="center" wrapText="1"/>
    </xf>
    <xf numFmtId="167" fontId="27" fillId="0" borderId="4" xfId="23" applyNumberFormat="1" applyFont="1" applyFill="1" applyBorder="1" applyAlignment="1">
      <alignment horizontal="center" vertical="center"/>
    </xf>
    <xf numFmtId="167" fontId="27" fillId="0" borderId="4" xfId="29" applyNumberFormat="1" applyFont="1" applyFill="1" applyBorder="1" applyAlignment="1">
      <alignment horizontal="center" vertical="center"/>
    </xf>
    <xf numFmtId="167" fontId="27" fillId="0" borderId="4" xfId="31" applyNumberFormat="1" applyFont="1" applyFill="1" applyBorder="1" applyAlignment="1">
      <alignment horizontal="center" vertical="center" wrapText="1"/>
    </xf>
    <xf numFmtId="168" fontId="27" fillId="0" borderId="4" xfId="23" applyNumberFormat="1" applyFont="1" applyFill="1" applyBorder="1" applyAlignment="1">
      <alignment horizontal="right" vertical="center" wrapText="1"/>
    </xf>
    <xf numFmtId="167" fontId="27" fillId="0" borderId="4" xfId="16" applyNumberFormat="1" applyFont="1" applyFill="1" applyBorder="1" applyAlignment="1" applyProtection="1">
      <alignment horizontal="right" vertical="center"/>
      <protection locked="0"/>
    </xf>
    <xf numFmtId="1" fontId="4" fillId="0" borderId="4" xfId="14" quotePrefix="1" applyNumberFormat="1" applyFont="1" applyBorder="1" applyAlignment="1">
      <alignment vertical="center" wrapText="1"/>
    </xf>
    <xf numFmtId="3" fontId="4" fillId="0" borderId="4" xfId="14" applyNumberFormat="1" applyFont="1" applyBorder="1" applyAlignment="1">
      <alignment horizontal="right" vertical="center"/>
    </xf>
    <xf numFmtId="3" fontId="7" fillId="0" borderId="4" xfId="14" applyNumberFormat="1" applyFont="1" applyBorder="1" applyAlignment="1">
      <alignment horizontal="right" vertical="center"/>
    </xf>
    <xf numFmtId="3" fontId="7" fillId="0" borderId="4" xfId="14" applyNumberFormat="1" applyFont="1" applyBorder="1" applyAlignment="1">
      <alignment vertical="center"/>
    </xf>
    <xf numFmtId="167" fontId="27" fillId="0" borderId="0" xfId="23" applyNumberFormat="1" applyFont="1" applyFill="1" applyBorder="1" applyAlignment="1">
      <alignment vertical="center"/>
    </xf>
    <xf numFmtId="3" fontId="4" fillId="0" borderId="4" xfId="14" applyNumberFormat="1" applyFont="1" applyBorder="1" applyAlignment="1">
      <alignment vertical="center"/>
    </xf>
    <xf numFmtId="3" fontId="7" fillId="0" borderId="4" xfId="14" applyNumberFormat="1" applyFont="1" applyBorder="1" applyAlignment="1">
      <alignment horizontal="center" vertical="center" wrapText="1"/>
    </xf>
    <xf numFmtId="1" fontId="44" fillId="0" borderId="1" xfId="14" applyNumberFormat="1" applyFont="1" applyBorder="1" applyAlignment="1">
      <alignment vertical="center" wrapText="1"/>
    </xf>
    <xf numFmtId="1" fontId="5" fillId="0" borderId="4" xfId="14" quotePrefix="1" applyNumberFormat="1" applyFont="1" applyBorder="1" applyAlignment="1">
      <alignment vertical="center" wrapText="1"/>
    </xf>
    <xf numFmtId="3" fontId="5" fillId="0" borderId="4" xfId="14" applyNumberFormat="1" applyFont="1" applyBorder="1" applyAlignment="1">
      <alignment horizontal="right" vertical="center"/>
    </xf>
    <xf numFmtId="1" fontId="7" fillId="0" borderId="1" xfId="14" applyNumberFormat="1" applyFont="1" applyFill="1" applyBorder="1" applyAlignment="1">
      <alignment horizontal="center" vertical="center" wrapText="1"/>
    </xf>
    <xf numFmtId="1" fontId="4" fillId="0" borderId="1" xfId="14" applyNumberFormat="1" applyFont="1" applyFill="1" applyBorder="1" applyAlignment="1">
      <alignment horizontal="center" vertical="center"/>
    </xf>
    <xf numFmtId="1" fontId="4" fillId="0" borderId="1" xfId="14" applyNumberFormat="1" applyFont="1" applyFill="1" applyBorder="1" applyAlignment="1">
      <alignment horizontal="left" vertical="center" wrapText="1"/>
    </xf>
    <xf numFmtId="3" fontId="7" fillId="0" borderId="1" xfId="14" quotePrefix="1" applyNumberFormat="1" applyFont="1" applyFill="1" applyBorder="1" applyAlignment="1">
      <alignment horizontal="center" vertical="center" wrapText="1"/>
    </xf>
    <xf numFmtId="168" fontId="4" fillId="0" borderId="1" xfId="23" applyNumberFormat="1" applyFont="1" applyFill="1" applyBorder="1" applyAlignment="1">
      <alignment horizontal="right" vertical="center"/>
    </xf>
    <xf numFmtId="49" fontId="4" fillId="0" borderId="1" xfId="14" applyNumberFormat="1" applyFont="1" applyFill="1" applyBorder="1" applyAlignment="1">
      <alignment horizontal="center" vertical="center"/>
    </xf>
    <xf numFmtId="1" fontId="4" fillId="0" borderId="1" xfId="14" applyNumberFormat="1" applyFont="1" applyFill="1" applyBorder="1" applyAlignment="1">
      <alignment vertical="center" wrapText="1"/>
    </xf>
    <xf numFmtId="1" fontId="4" fillId="0" borderId="1" xfId="14" applyNumberFormat="1" applyFont="1" applyFill="1" applyBorder="1" applyAlignment="1">
      <alignment horizontal="center" vertical="center" wrapText="1"/>
    </xf>
    <xf numFmtId="1" fontId="4" fillId="0" borderId="1" xfId="14" applyNumberFormat="1" applyFont="1" applyFill="1" applyBorder="1" applyAlignment="1">
      <alignment horizontal="right" vertical="center"/>
    </xf>
    <xf numFmtId="49" fontId="5" fillId="0" borderId="1" xfId="14" applyNumberFormat="1" applyFont="1" applyFill="1" applyBorder="1" applyAlignment="1">
      <alignment horizontal="center" vertical="center"/>
    </xf>
    <xf numFmtId="1" fontId="5" fillId="0" borderId="1" xfId="14" applyNumberFormat="1" applyFont="1" applyFill="1" applyBorder="1" applyAlignment="1">
      <alignment vertical="center" wrapText="1"/>
    </xf>
    <xf numFmtId="1" fontId="5" fillId="0" borderId="1" xfId="14" applyNumberFormat="1" applyFont="1" applyFill="1" applyBorder="1" applyAlignment="1">
      <alignment horizontal="center" vertical="center" wrapText="1"/>
    </xf>
    <xf numFmtId="168" fontId="5" fillId="0" borderId="1" xfId="23" applyNumberFormat="1" applyFont="1" applyFill="1" applyBorder="1" applyAlignment="1">
      <alignment horizontal="right" vertical="center"/>
    </xf>
    <xf numFmtId="1" fontId="5" fillId="0" borderId="1" xfId="14" applyNumberFormat="1" applyFont="1" applyFill="1" applyBorder="1" applyAlignment="1">
      <alignment horizontal="right" vertical="center"/>
    </xf>
    <xf numFmtId="49" fontId="7" fillId="0" borderId="1" xfId="14" applyNumberFormat="1" applyFont="1" applyFill="1" applyBorder="1" applyAlignment="1">
      <alignment horizontal="center" vertical="center"/>
    </xf>
    <xf numFmtId="1" fontId="7" fillId="0" borderId="1" xfId="14" applyNumberFormat="1" applyFont="1" applyFill="1" applyBorder="1" applyAlignment="1">
      <alignment vertical="center" wrapText="1"/>
    </xf>
    <xf numFmtId="0" fontId="45" fillId="0" borderId="1" xfId="0" applyFont="1" applyFill="1" applyBorder="1" applyAlignment="1">
      <alignment horizontal="center" vertical="center"/>
    </xf>
    <xf numFmtId="0" fontId="4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14" applyNumberFormat="1" applyFont="1" applyFill="1" applyBorder="1" applyAlignment="1">
      <alignment horizontal="right" vertical="center"/>
    </xf>
    <xf numFmtId="167" fontId="7" fillId="0" borderId="1" xfId="23" applyNumberFormat="1" applyFont="1" applyFill="1" applyBorder="1" applyAlignment="1">
      <alignment horizontal="right" vertical="center"/>
    </xf>
    <xf numFmtId="0" fontId="7" fillId="0" borderId="1" xfId="0" applyFont="1" applyFill="1" applyBorder="1" applyAlignment="1">
      <alignment horizontal="left" vertical="center" wrapText="1"/>
    </xf>
    <xf numFmtId="168" fontId="7" fillId="0" borderId="1" xfId="23" applyNumberFormat="1" applyFont="1" applyFill="1" applyBorder="1" applyAlignment="1">
      <alignment horizontal="right" vertical="center"/>
    </xf>
    <xf numFmtId="167" fontId="4" fillId="0" borderId="1" xfId="23" applyNumberFormat="1" applyFont="1" applyFill="1" applyBorder="1" applyAlignment="1">
      <alignment horizontal="right" vertical="center"/>
    </xf>
    <xf numFmtId="167" fontId="5" fillId="0" borderId="1" xfId="23" applyNumberFormat="1" applyFont="1" applyFill="1" applyBorder="1" applyAlignment="1">
      <alignment horizontal="right" vertical="center"/>
    </xf>
    <xf numFmtId="0" fontId="7" fillId="0" borderId="1" xfId="0" applyFont="1" applyFill="1" applyBorder="1" applyAlignment="1">
      <alignment horizontal="center" vertical="center"/>
    </xf>
    <xf numFmtId="1" fontId="7" fillId="0" borderId="1" xfId="14" quotePrefix="1" applyNumberFormat="1" applyFont="1" applyFill="1" applyBorder="1" applyAlignment="1">
      <alignment horizontal="center" vertical="center" wrapText="1"/>
    </xf>
    <xf numFmtId="3" fontId="7" fillId="0" borderId="1" xfId="14" quotePrefix="1" applyNumberFormat="1" applyFont="1" applyFill="1" applyBorder="1" applyAlignment="1">
      <alignment horizontal="right" vertical="center" wrapText="1"/>
    </xf>
    <xf numFmtId="3" fontId="4" fillId="0" borderId="1" xfId="14" quotePrefix="1" applyNumberFormat="1" applyFont="1" applyFill="1" applyBorder="1" applyAlignment="1">
      <alignment horizontal="center" vertical="center" wrapText="1"/>
    </xf>
    <xf numFmtId="172" fontId="4" fillId="0" borderId="1" xfId="0" applyNumberFormat="1" applyFont="1" applyFill="1" applyBorder="1" applyAlignment="1">
      <alignment horizontal="right" vertical="center" wrapText="1"/>
    </xf>
    <xf numFmtId="172" fontId="5" fillId="0" borderId="1" xfId="0" applyNumberFormat="1" applyFont="1" applyFill="1" applyBorder="1" applyAlignment="1">
      <alignment horizontal="right" vertical="center" wrapText="1"/>
    </xf>
    <xf numFmtId="172" fontId="7" fillId="0" borderId="1" xfId="0" applyNumberFormat="1" applyFont="1" applyFill="1" applyBorder="1" applyAlignment="1">
      <alignment horizontal="right" vertical="center" wrapText="1"/>
    </xf>
    <xf numFmtId="167" fontId="46" fillId="0" borderId="1" xfId="23" applyNumberFormat="1" applyFont="1" applyFill="1" applyBorder="1" applyAlignment="1">
      <alignment horizontal="right" vertical="center"/>
    </xf>
    <xf numFmtId="3" fontId="46" fillId="0" borderId="1" xfId="14" quotePrefix="1" applyNumberFormat="1" applyFont="1" applyFill="1" applyBorder="1" applyAlignment="1">
      <alignment horizontal="right" vertical="center" wrapText="1"/>
    </xf>
    <xf numFmtId="3" fontId="45" fillId="0" borderId="1" xfId="20" applyNumberFormat="1" applyFont="1" applyFill="1" applyBorder="1" applyAlignment="1">
      <alignment horizontal="right" vertical="center" wrapText="1"/>
    </xf>
    <xf numFmtId="3" fontId="49" fillId="0" borderId="4" xfId="0" applyNumberFormat="1" applyFont="1" applyBorder="1" applyAlignment="1">
      <alignment horizontal="center" vertical="center" wrapText="1"/>
    </xf>
    <xf numFmtId="3" fontId="51" fillId="0" borderId="4" xfId="14" applyNumberFormat="1" applyFont="1" applyBorder="1" applyAlignment="1">
      <alignment horizontal="center" vertical="center" wrapText="1"/>
    </xf>
    <xf numFmtId="3" fontId="52" fillId="0" borderId="4" xfId="14" applyNumberFormat="1" applyFont="1" applyBorder="1" applyAlignment="1">
      <alignment horizontal="center" vertical="center" wrapText="1"/>
    </xf>
    <xf numFmtId="3" fontId="4" fillId="0" borderId="3" xfId="14" quotePrefix="1" applyNumberFormat="1" applyFont="1" applyBorder="1" applyAlignment="1">
      <alignment horizontal="center" vertical="center" wrapText="1"/>
    </xf>
    <xf numFmtId="3" fontId="27" fillId="0" borderId="4" xfId="16" applyNumberFormat="1" applyFont="1" applyFill="1" applyBorder="1" applyAlignment="1">
      <alignment horizontal="right" vertical="center" wrapText="1"/>
    </xf>
    <xf numFmtId="1" fontId="7" fillId="0" borderId="0" xfId="14" applyNumberFormat="1" applyFont="1" applyFill="1" applyAlignment="1">
      <alignment horizontal="right" vertical="center"/>
    </xf>
    <xf numFmtId="0" fontId="9" fillId="0" borderId="0" xfId="0" applyFont="1" applyFill="1" applyAlignment="1">
      <alignment vertical="center" wrapText="1"/>
    </xf>
    <xf numFmtId="0" fontId="27" fillId="0" borderId="0" xfId="0" applyFont="1" applyFill="1" applyAlignment="1">
      <alignment vertical="center" wrapText="1" readingOrder="1"/>
    </xf>
    <xf numFmtId="0" fontId="27" fillId="0" borderId="0" xfId="0" applyFont="1" applyFill="1"/>
    <xf numFmtId="0" fontId="11" fillId="0" borderId="0" xfId="0" applyFont="1" applyFill="1" applyAlignment="1">
      <alignment vertical="center" wrapText="1"/>
    </xf>
    <xf numFmtId="0" fontId="9"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9" fillId="0" borderId="1" xfId="0" quotePrefix="1"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11" fillId="0"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3" fontId="11" fillId="0" borderId="4" xfId="0" applyNumberFormat="1" applyFont="1" applyFill="1" applyBorder="1" applyAlignment="1">
      <alignment horizontal="right" vertical="center" wrapText="1"/>
    </xf>
    <xf numFmtId="0" fontId="11" fillId="0" borderId="4" xfId="0" applyFont="1" applyFill="1" applyBorder="1" applyAlignment="1">
      <alignment vertical="center" wrapText="1"/>
    </xf>
    <xf numFmtId="0" fontId="16" fillId="0" borderId="4" xfId="0" applyFont="1" applyFill="1" applyBorder="1" applyAlignment="1">
      <alignment horizontal="left" vertical="center" wrapText="1"/>
    </xf>
    <xf numFmtId="3" fontId="16" fillId="0" borderId="4" xfId="0" applyNumberFormat="1" applyFont="1" applyFill="1" applyBorder="1" applyAlignment="1">
      <alignment horizontal="left" vertical="center" wrapText="1"/>
    </xf>
    <xf numFmtId="3" fontId="11" fillId="0" borderId="4"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3" fontId="15" fillId="0" borderId="4" xfId="0" applyNumberFormat="1" applyFont="1" applyFill="1" applyBorder="1" applyAlignment="1">
      <alignment horizontal="right" vertical="center" wrapText="1"/>
    </xf>
    <xf numFmtId="3" fontId="11" fillId="0" borderId="0" xfId="0" applyNumberFormat="1" applyFont="1" applyFill="1" applyAlignment="1">
      <alignment vertical="center" wrapText="1"/>
    </xf>
    <xf numFmtId="0" fontId="28" fillId="0" borderId="0" xfId="0" applyFont="1" applyFill="1"/>
    <xf numFmtId="0" fontId="9" fillId="0" borderId="4" xfId="0" quotePrefix="1" applyFont="1" applyFill="1" applyBorder="1" applyAlignment="1">
      <alignment horizontal="center" vertical="center" wrapText="1"/>
    </xf>
    <xf numFmtId="49" fontId="9" fillId="0" borderId="4" xfId="0" applyNumberFormat="1" applyFont="1" applyFill="1" applyBorder="1" applyAlignment="1">
      <alignment vertical="center" wrapText="1"/>
    </xf>
    <xf numFmtId="3" fontId="9" fillId="0" borderId="4" xfId="0" applyNumberFormat="1" applyFont="1" applyFill="1" applyBorder="1" applyAlignment="1">
      <alignment vertical="center" wrapText="1"/>
    </xf>
    <xf numFmtId="3" fontId="9" fillId="0" borderId="0" xfId="0" applyNumberFormat="1" applyFont="1" applyFill="1" applyAlignment="1">
      <alignment vertical="center" wrapText="1"/>
    </xf>
    <xf numFmtId="49" fontId="9" fillId="0" borderId="4" xfId="0" quotePrefix="1" applyNumberFormat="1" applyFont="1" applyFill="1" applyBorder="1" applyAlignment="1">
      <alignment vertical="center" wrapText="1"/>
    </xf>
    <xf numFmtId="3" fontId="9" fillId="0" borderId="4" xfId="0" quotePrefix="1" applyNumberFormat="1" applyFont="1" applyFill="1" applyBorder="1" applyAlignment="1">
      <alignment vertical="center" wrapText="1"/>
    </xf>
    <xf numFmtId="49" fontId="11" fillId="0" borderId="4" xfId="0" applyNumberFormat="1" applyFont="1" applyFill="1" applyBorder="1" applyAlignment="1">
      <alignment vertical="center" wrapText="1"/>
    </xf>
    <xf numFmtId="3" fontId="11" fillId="0" borderId="4" xfId="0" applyNumberFormat="1" applyFont="1" applyFill="1" applyBorder="1" applyAlignment="1">
      <alignment vertical="center" wrapText="1"/>
    </xf>
    <xf numFmtId="0" fontId="11" fillId="0" borderId="4" xfId="0" quotePrefix="1" applyFont="1" applyFill="1" applyBorder="1" applyAlignment="1">
      <alignment horizontal="center" vertical="center" wrapText="1"/>
    </xf>
    <xf numFmtId="49" fontId="11" fillId="0" borderId="4" xfId="0" quotePrefix="1" applyNumberFormat="1" applyFont="1" applyFill="1" applyBorder="1" applyAlignment="1">
      <alignment vertical="center" wrapText="1"/>
    </xf>
    <xf numFmtId="0" fontId="15" fillId="0" borderId="4" xfId="0" applyFont="1" applyFill="1" applyBorder="1" applyAlignment="1">
      <alignment vertical="center" wrapText="1"/>
    </xf>
    <xf numFmtId="0" fontId="15" fillId="0" borderId="0" xfId="0" applyFont="1" applyFill="1" applyAlignment="1">
      <alignment vertical="center" wrapText="1"/>
    </xf>
    <xf numFmtId="0" fontId="3" fillId="0" borderId="4" xfId="8" applyFont="1" applyFill="1" applyBorder="1" applyAlignment="1">
      <alignment horizontal="left" vertical="center" wrapText="1"/>
    </xf>
    <xf numFmtId="3" fontId="16" fillId="0" borderId="4" xfId="0" applyNumberFormat="1" applyFont="1" applyFill="1" applyBorder="1" applyAlignment="1">
      <alignment vertical="center" wrapText="1"/>
    </xf>
    <xf numFmtId="3" fontId="15" fillId="0" borderId="4" xfId="0" applyNumberFormat="1" applyFont="1" applyFill="1" applyBorder="1" applyAlignment="1">
      <alignment vertical="center" wrapText="1"/>
    </xf>
    <xf numFmtId="0" fontId="7" fillId="0" borderId="4" xfId="8" applyFont="1" applyFill="1" applyBorder="1" applyAlignment="1">
      <alignment horizontal="left" vertical="center" wrapText="1"/>
    </xf>
    <xf numFmtId="0" fontId="9" fillId="0" borderId="4" xfId="0" applyFont="1" applyFill="1" applyBorder="1" applyAlignment="1">
      <alignment vertical="center" wrapText="1"/>
    </xf>
    <xf numFmtId="3" fontId="53" fillId="0" borderId="21" xfId="32" applyNumberFormat="1" applyFont="1" applyFill="1" applyBorder="1" applyAlignment="1">
      <alignment horizontal="right" vertical="center"/>
    </xf>
    <xf numFmtId="3" fontId="27" fillId="0" borderId="21" xfId="32" applyNumberFormat="1" applyFont="1" applyFill="1" applyBorder="1" applyAlignment="1">
      <alignment horizontal="right" vertical="center"/>
    </xf>
    <xf numFmtId="0" fontId="11" fillId="0" borderId="5" xfId="0" applyFont="1" applyFill="1" applyBorder="1" applyAlignment="1">
      <alignment horizontal="center" vertical="center" wrapText="1"/>
    </xf>
    <xf numFmtId="49" fontId="11" fillId="0" borderId="5" xfId="0" applyNumberFormat="1" applyFont="1" applyFill="1" applyBorder="1" applyAlignment="1">
      <alignment vertical="center" wrapText="1"/>
    </xf>
    <xf numFmtId="3" fontId="11" fillId="0" borderId="5" xfId="0" applyNumberFormat="1" applyFont="1" applyFill="1" applyBorder="1" applyAlignment="1">
      <alignment vertical="center" wrapText="1"/>
    </xf>
    <xf numFmtId="0" fontId="11" fillId="0" borderId="5" xfId="0" applyFont="1" applyFill="1" applyBorder="1" applyAlignment="1">
      <alignment vertical="center" wrapText="1"/>
    </xf>
    <xf numFmtId="49" fontId="4" fillId="0" borderId="0" xfId="14" applyNumberFormat="1" applyFont="1" applyFill="1" applyAlignment="1">
      <alignment vertical="center"/>
    </xf>
    <xf numFmtId="1" fontId="5" fillId="0" borderId="0" xfId="14" applyNumberFormat="1" applyFont="1" applyFill="1" applyAlignment="1">
      <alignment vertical="center"/>
    </xf>
    <xf numFmtId="1" fontId="4" fillId="0" borderId="0" xfId="14" applyNumberFormat="1" applyFont="1" applyFill="1" applyAlignment="1">
      <alignment vertical="center"/>
    </xf>
    <xf numFmtId="1" fontId="4" fillId="0" borderId="0" xfId="14" applyNumberFormat="1" applyFont="1" applyFill="1" applyAlignment="1">
      <alignment horizontal="right" vertical="center"/>
    </xf>
    <xf numFmtId="1" fontId="3" fillId="0" borderId="0" xfId="14" applyNumberFormat="1" applyFont="1" applyFill="1" applyAlignment="1">
      <alignment vertical="center"/>
    </xf>
    <xf numFmtId="1" fontId="7" fillId="0" borderId="0" xfId="14" applyNumberFormat="1" applyFont="1" applyFill="1" applyAlignment="1">
      <alignment vertical="center"/>
    </xf>
    <xf numFmtId="1" fontId="8" fillId="0" borderId="0" xfId="14" applyNumberFormat="1" applyFont="1" applyFill="1" applyAlignment="1">
      <alignment vertical="center"/>
    </xf>
    <xf numFmtId="3" fontId="7" fillId="0" borderId="0" xfId="14" applyNumberFormat="1" applyFont="1" applyFill="1" applyAlignment="1">
      <alignment horizontal="center" vertical="center" wrapText="1"/>
    </xf>
    <xf numFmtId="3" fontId="20" fillId="0" borderId="1" xfId="14" applyNumberFormat="1" applyFont="1" applyFill="1" applyBorder="1" applyAlignment="1">
      <alignment horizontal="center" vertical="center" wrapText="1"/>
    </xf>
    <xf numFmtId="0" fontId="7" fillId="0" borderId="1" xfId="14" applyFont="1" applyFill="1" applyBorder="1" applyAlignment="1">
      <alignment horizontal="center" vertical="center" wrapText="1"/>
    </xf>
    <xf numFmtId="3" fontId="7" fillId="0" borderId="1" xfId="14" applyNumberFormat="1" applyFont="1" applyFill="1" applyBorder="1" applyAlignment="1">
      <alignment vertical="center" wrapText="1"/>
    </xf>
    <xf numFmtId="3" fontId="7" fillId="0" borderId="0" xfId="14" applyNumberFormat="1" applyFont="1" applyFill="1" applyAlignment="1">
      <alignment vertical="center" wrapText="1"/>
    </xf>
    <xf numFmtId="49" fontId="7" fillId="0" borderId="1" xfId="14" quotePrefix="1" applyNumberFormat="1" applyFont="1" applyFill="1" applyBorder="1" applyAlignment="1">
      <alignment horizontal="center" vertical="center" wrapText="1"/>
    </xf>
    <xf numFmtId="3" fontId="4" fillId="0" borderId="1" xfId="14" applyNumberFormat="1" applyFont="1" applyFill="1" applyBorder="1" applyAlignment="1">
      <alignment horizontal="center" vertical="center" wrapText="1"/>
    </xf>
    <xf numFmtId="49" fontId="4" fillId="0" borderId="1" xfId="14" applyNumberFormat="1" applyFont="1" applyFill="1" applyBorder="1" applyAlignment="1">
      <alignment horizontal="center" vertical="center" wrapText="1"/>
    </xf>
    <xf numFmtId="3" fontId="4" fillId="0" borderId="1" xfId="14" quotePrefix="1" applyNumberFormat="1" applyFont="1" applyFill="1" applyBorder="1" applyAlignment="1">
      <alignment horizontal="right" vertical="center" wrapText="1"/>
    </xf>
    <xf numFmtId="3" fontId="46" fillId="0" borderId="1" xfId="32" applyNumberFormat="1" applyFont="1" applyFill="1" applyBorder="1" applyAlignment="1">
      <alignment horizontal="right" vertical="center"/>
    </xf>
    <xf numFmtId="172" fontId="7" fillId="0" borderId="1" xfId="14" applyNumberFormat="1" applyFont="1" applyFill="1" applyBorder="1" applyAlignment="1">
      <alignment horizontal="center" vertical="center" wrapText="1"/>
    </xf>
    <xf numFmtId="172" fontId="7" fillId="0" borderId="4" xfId="0" applyNumberFormat="1" applyFont="1" applyFill="1" applyBorder="1" applyAlignment="1">
      <alignment horizontal="center" vertical="center" wrapText="1"/>
    </xf>
    <xf numFmtId="3" fontId="7" fillId="0" borderId="4" xfId="0" applyNumberFormat="1" applyFont="1" applyFill="1" applyBorder="1" applyAlignment="1">
      <alignment horizontal="left" vertical="center" wrapText="1"/>
    </xf>
    <xf numFmtId="3" fontId="7"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72" fontId="49" fillId="0" borderId="1" xfId="0" applyNumberFormat="1" applyFont="1" applyFill="1" applyBorder="1" applyAlignment="1">
      <alignment horizontal="right" vertical="center"/>
    </xf>
    <xf numFmtId="1" fontId="4" fillId="0" borderId="1" xfId="14" applyNumberFormat="1" applyFont="1" applyFill="1" applyBorder="1" applyAlignment="1">
      <alignment vertical="center"/>
    </xf>
    <xf numFmtId="1" fontId="7" fillId="0" borderId="1" xfId="14" applyNumberFormat="1" applyFont="1" applyFill="1" applyBorder="1" applyAlignment="1">
      <alignment horizontal="center" vertical="center"/>
    </xf>
    <xf numFmtId="172" fontId="7" fillId="0" borderId="1" xfId="0" applyNumberFormat="1" applyFont="1" applyFill="1" applyBorder="1" applyAlignment="1">
      <alignment vertical="center" wrapText="1"/>
    </xf>
    <xf numFmtId="172" fontId="7" fillId="0" borderId="1" xfId="0" applyNumberFormat="1" applyFont="1" applyFill="1" applyBorder="1" applyAlignment="1">
      <alignment horizontal="center" vertical="center" wrapText="1"/>
    </xf>
    <xf numFmtId="172" fontId="7" fillId="0" borderId="1" xfId="14" applyNumberFormat="1" applyFont="1" applyFill="1" applyBorder="1" applyAlignment="1">
      <alignment horizontal="right" vertical="center"/>
    </xf>
    <xf numFmtId="172" fontId="46" fillId="0" borderId="1" xfId="33" applyNumberFormat="1" applyFont="1" applyFill="1" applyBorder="1" applyAlignment="1">
      <alignment horizontal="right" vertical="center" wrapText="1"/>
    </xf>
    <xf numFmtId="172" fontId="7" fillId="0" borderId="4" xfId="14" applyNumberFormat="1" applyFont="1" applyFill="1" applyBorder="1" applyAlignment="1">
      <alignment horizontal="right" vertical="center"/>
    </xf>
    <xf numFmtId="1" fontId="5" fillId="0" borderId="1" xfId="14" applyNumberFormat="1" applyFont="1" applyFill="1" applyBorder="1" applyAlignment="1">
      <alignment vertical="center"/>
    </xf>
    <xf numFmtId="172" fontId="46" fillId="0" borderId="1" xfId="33" applyNumberFormat="1" applyFont="1" applyFill="1" applyBorder="1" applyAlignment="1">
      <alignment horizontal="right" vertical="center"/>
    </xf>
    <xf numFmtId="172" fontId="7" fillId="0" borderId="1" xfId="0" applyNumberFormat="1" applyFont="1" applyFill="1" applyBorder="1" applyAlignment="1">
      <alignment horizontal="right" vertical="center"/>
    </xf>
    <xf numFmtId="3" fontId="7" fillId="0" borderId="1" xfId="20" applyNumberFormat="1" applyFont="1" applyFill="1" applyBorder="1" applyAlignment="1">
      <alignment horizontal="right" vertical="center" wrapText="1"/>
    </xf>
    <xf numFmtId="3" fontId="46" fillId="0" borderId="1" xfId="20" applyNumberFormat="1" applyFont="1" applyFill="1" applyBorder="1" applyAlignment="1">
      <alignment horizontal="right" vertical="center" wrapText="1"/>
    </xf>
    <xf numFmtId="1" fontId="7" fillId="0" borderId="1" xfId="14" applyNumberFormat="1" applyFont="1" applyFill="1" applyBorder="1" applyAlignment="1">
      <alignment vertical="center"/>
    </xf>
    <xf numFmtId="172" fontId="47" fillId="0" borderId="1" xfId="0" applyNumberFormat="1" applyFont="1" applyFill="1" applyBorder="1" applyAlignment="1">
      <alignment vertical="center" wrapText="1"/>
    </xf>
    <xf numFmtId="0" fontId="47" fillId="0" borderId="1" xfId="18" applyFont="1" applyFill="1" applyBorder="1" applyAlignment="1">
      <alignment vertical="center" wrapText="1"/>
    </xf>
    <xf numFmtId="172" fontId="4" fillId="0" borderId="1" xfId="14" applyNumberFormat="1" applyFont="1" applyFill="1" applyBorder="1" applyAlignment="1">
      <alignment horizontal="right" vertical="center"/>
    </xf>
    <xf numFmtId="172" fontId="5" fillId="0" borderId="1" xfId="14" applyNumberFormat="1" applyFont="1" applyFill="1" applyBorder="1" applyAlignment="1">
      <alignment horizontal="right" vertical="center"/>
    </xf>
    <xf numFmtId="0" fontId="7" fillId="0" borderId="1" xfId="18" applyFont="1" applyFill="1" applyBorder="1" applyAlignment="1">
      <alignment horizontal="center" vertical="center" wrapText="1"/>
    </xf>
    <xf numFmtId="172" fontId="46" fillId="0" borderId="1" xfId="14" applyNumberFormat="1" applyFont="1" applyFill="1" applyBorder="1" applyAlignment="1">
      <alignment horizontal="right" vertical="center"/>
    </xf>
    <xf numFmtId="164" fontId="46" fillId="0" borderId="4" xfId="27" applyFont="1" applyFill="1" applyBorder="1" applyAlignment="1">
      <alignment horizontal="center" vertical="center"/>
    </xf>
    <xf numFmtId="49" fontId="7" fillId="0" borderId="2" xfId="14" applyNumberFormat="1" applyFont="1" applyFill="1" applyBorder="1" applyAlignment="1">
      <alignment horizontal="center" vertical="center"/>
    </xf>
    <xf numFmtId="1" fontId="7" fillId="0" borderId="2" xfId="14" applyNumberFormat="1" applyFont="1" applyFill="1" applyBorder="1" applyAlignment="1">
      <alignment vertical="center" wrapText="1"/>
    </xf>
    <xf numFmtId="1" fontId="7" fillId="0" borderId="2" xfId="14" applyNumberFormat="1" applyFont="1" applyFill="1" applyBorder="1" applyAlignment="1">
      <alignment horizontal="center" vertical="center" wrapText="1"/>
    </xf>
    <xf numFmtId="1" fontId="7" fillId="0" borderId="2" xfId="14" applyNumberFormat="1" applyFont="1" applyFill="1" applyBorder="1" applyAlignment="1">
      <alignment horizontal="right" vertical="center"/>
    </xf>
    <xf numFmtId="49" fontId="7" fillId="0" borderId="0" xfId="14" applyNumberFormat="1" applyFont="1" applyFill="1" applyAlignment="1">
      <alignment horizontal="center" vertical="center"/>
    </xf>
    <xf numFmtId="1" fontId="7" fillId="0" borderId="0" xfId="14" applyNumberFormat="1" applyFont="1" applyFill="1" applyAlignment="1">
      <alignment vertical="center" wrapText="1"/>
    </xf>
    <xf numFmtId="1" fontId="7" fillId="0" borderId="0" xfId="14" applyNumberFormat="1" applyFont="1" applyFill="1" applyAlignment="1">
      <alignment horizontal="center" vertical="center" wrapText="1"/>
    </xf>
    <xf numFmtId="1" fontId="7" fillId="0" borderId="0" xfId="14" applyNumberFormat="1" applyFont="1" applyFill="1" applyAlignment="1">
      <alignment horizontal="left" vertical="center" wrapText="1"/>
    </xf>
    <xf numFmtId="49" fontId="7" fillId="0" borderId="0" xfId="14" applyNumberFormat="1" applyFont="1" applyFill="1" applyAlignment="1">
      <alignment vertical="center"/>
    </xf>
    <xf numFmtId="49" fontId="28" fillId="0" borderId="0" xfId="14" applyNumberFormat="1" applyFont="1" applyFill="1" applyAlignment="1">
      <alignment vertical="center"/>
    </xf>
    <xf numFmtId="1" fontId="41" fillId="0" borderId="0" xfId="14" applyNumberFormat="1" applyFont="1" applyFill="1" applyAlignment="1">
      <alignment vertical="center"/>
    </xf>
    <xf numFmtId="1" fontId="28" fillId="0" borderId="0" xfId="14" applyNumberFormat="1" applyFont="1" applyFill="1" applyAlignment="1">
      <alignment vertical="center"/>
    </xf>
    <xf numFmtId="1" fontId="28" fillId="0" borderId="0" xfId="14" applyNumberFormat="1" applyFont="1" applyFill="1" applyAlignment="1">
      <alignment horizontal="right" vertical="center"/>
    </xf>
    <xf numFmtId="1" fontId="27" fillId="0" borderId="0" xfId="14" applyNumberFormat="1" applyFont="1" applyFill="1" applyAlignment="1">
      <alignment horizontal="right" vertical="center"/>
    </xf>
    <xf numFmtId="1" fontId="31" fillId="0" borderId="0" xfId="14" applyNumberFormat="1" applyFont="1" applyFill="1" applyAlignment="1">
      <alignment vertical="center"/>
    </xf>
    <xf numFmtId="1" fontId="27" fillId="0" borderId="0" xfId="14" applyNumberFormat="1" applyFont="1" applyFill="1" applyAlignment="1">
      <alignment vertical="center"/>
    </xf>
    <xf numFmtId="3" fontId="27" fillId="0" borderId="0" xfId="14" applyNumberFormat="1" applyFont="1" applyFill="1" applyAlignment="1">
      <alignment horizontal="center" vertical="center" wrapText="1"/>
    </xf>
    <xf numFmtId="3" fontId="41" fillId="0" borderId="1" xfId="14" applyNumberFormat="1" applyFont="1" applyFill="1" applyBorder="1" applyAlignment="1">
      <alignment horizontal="center" vertical="center" wrapText="1"/>
    </xf>
    <xf numFmtId="0" fontId="27" fillId="0" borderId="3" xfId="14" applyFont="1" applyFill="1" applyBorder="1" applyAlignment="1">
      <alignment horizontal="center" vertical="center" wrapText="1"/>
    </xf>
    <xf numFmtId="3" fontId="27" fillId="0" borderId="3" xfId="14" quotePrefix="1" applyNumberFormat="1" applyFont="1" applyFill="1" applyBorder="1" applyAlignment="1">
      <alignment horizontal="center" vertical="center" wrapText="1"/>
    </xf>
    <xf numFmtId="3" fontId="27" fillId="0" borderId="3" xfId="14" applyNumberFormat="1" applyFont="1" applyFill="1" applyBorder="1" applyAlignment="1">
      <alignment vertical="center" wrapText="1"/>
    </xf>
    <xf numFmtId="3" fontId="27" fillId="0" borderId="0" xfId="14" applyNumberFormat="1" applyFont="1" applyFill="1" applyAlignment="1">
      <alignment vertical="center" wrapText="1"/>
    </xf>
    <xf numFmtId="0" fontId="28" fillId="0" borderId="6" xfId="14" applyFont="1" applyFill="1" applyBorder="1" applyAlignment="1">
      <alignment horizontal="center" vertical="center" wrapText="1"/>
    </xf>
    <xf numFmtId="3" fontId="28" fillId="0" borderId="4" xfId="14" applyNumberFormat="1" applyFont="1" applyFill="1" applyBorder="1" applyAlignment="1">
      <alignment horizontal="center" vertical="center" wrapText="1"/>
    </xf>
    <xf numFmtId="3" fontId="28" fillId="0" borderId="6" xfId="14" quotePrefix="1" applyNumberFormat="1" applyFont="1" applyFill="1" applyBorder="1" applyAlignment="1">
      <alignment horizontal="center" vertical="center" wrapText="1"/>
    </xf>
    <xf numFmtId="3" fontId="28" fillId="0" borderId="6" xfId="14" applyNumberFormat="1" applyFont="1" applyFill="1" applyBorder="1" applyAlignment="1">
      <alignment horizontal="center" vertical="center" wrapText="1"/>
    </xf>
    <xf numFmtId="3" fontId="28" fillId="0" borderId="6" xfId="14" applyNumberFormat="1" applyFont="1" applyFill="1" applyBorder="1" applyAlignment="1">
      <alignment vertical="center" wrapText="1"/>
    </xf>
    <xf numFmtId="3" fontId="28" fillId="0" borderId="0" xfId="14" applyNumberFormat="1" applyFont="1" applyFill="1" applyAlignment="1">
      <alignment vertical="center" wrapText="1"/>
    </xf>
    <xf numFmtId="49" fontId="27" fillId="0" borderId="4" xfId="14" quotePrefix="1" applyNumberFormat="1" applyFont="1" applyFill="1" applyBorder="1" applyAlignment="1">
      <alignment horizontal="center" vertical="center" wrapText="1"/>
    </xf>
    <xf numFmtId="3" fontId="27" fillId="0" borderId="4" xfId="14" quotePrefix="1" applyNumberFormat="1" applyFont="1" applyFill="1" applyBorder="1" applyAlignment="1">
      <alignment horizontal="center" vertical="center" wrapText="1"/>
    </xf>
    <xf numFmtId="3" fontId="28" fillId="0" borderId="4" xfId="14" quotePrefix="1" applyNumberFormat="1" applyFont="1" applyFill="1" applyBorder="1" applyAlignment="1">
      <alignment horizontal="right" vertical="center" wrapText="1"/>
    </xf>
    <xf numFmtId="3" fontId="27" fillId="0" borderId="4" xfId="14" applyNumberFormat="1" applyFont="1" applyFill="1" applyBorder="1" applyAlignment="1">
      <alignment vertical="center" wrapText="1"/>
    </xf>
    <xf numFmtId="49" fontId="28" fillId="0" borderId="4" xfId="14" applyNumberFormat="1" applyFont="1" applyFill="1" applyBorder="1" applyAlignment="1">
      <alignment horizontal="center" vertical="center" wrapText="1"/>
    </xf>
    <xf numFmtId="1" fontId="28" fillId="0" borderId="4" xfId="14" applyNumberFormat="1" applyFont="1" applyFill="1" applyBorder="1" applyAlignment="1">
      <alignment horizontal="left" vertical="center" wrapText="1"/>
    </xf>
    <xf numFmtId="1" fontId="28" fillId="0" borderId="4" xfId="14" applyNumberFormat="1" applyFont="1" applyFill="1" applyBorder="1" applyAlignment="1">
      <alignment horizontal="center" vertical="center"/>
    </xf>
    <xf numFmtId="49" fontId="28" fillId="0" borderId="4" xfId="14" applyNumberFormat="1" applyFont="1" applyFill="1" applyBorder="1" applyAlignment="1">
      <alignment horizontal="center" vertical="center"/>
    </xf>
    <xf numFmtId="1" fontId="28" fillId="0" borderId="4" xfId="14" applyNumberFormat="1" applyFont="1" applyFill="1" applyBorder="1" applyAlignment="1">
      <alignment vertical="center" wrapText="1"/>
    </xf>
    <xf numFmtId="1" fontId="28" fillId="0" borderId="4" xfId="14" applyNumberFormat="1" applyFont="1" applyFill="1" applyBorder="1" applyAlignment="1">
      <alignment horizontal="center" vertical="center" wrapText="1"/>
    </xf>
    <xf numFmtId="1" fontId="28" fillId="0" borderId="4" xfId="14" applyNumberFormat="1" applyFont="1" applyFill="1" applyBorder="1" applyAlignment="1">
      <alignment horizontal="right" vertical="center"/>
    </xf>
    <xf numFmtId="49" fontId="41" fillId="0" borderId="4" xfId="14" applyNumberFormat="1" applyFont="1" applyFill="1" applyBorder="1" applyAlignment="1">
      <alignment horizontal="center" vertical="center"/>
    </xf>
    <xf numFmtId="1" fontId="41" fillId="0" borderId="4" xfId="14" applyNumberFormat="1" applyFont="1" applyFill="1" applyBorder="1" applyAlignment="1">
      <alignment vertical="center" wrapText="1"/>
    </xf>
    <xf numFmtId="1" fontId="41" fillId="0" borderId="4" xfId="14" applyNumberFormat="1" applyFont="1" applyFill="1" applyBorder="1" applyAlignment="1">
      <alignment horizontal="center" vertical="center" wrapText="1"/>
    </xf>
    <xf numFmtId="1" fontId="41" fillId="0" borderId="4" xfId="14" applyNumberFormat="1" applyFont="1" applyFill="1" applyBorder="1" applyAlignment="1">
      <alignment horizontal="right" vertical="center"/>
    </xf>
    <xf numFmtId="49" fontId="27" fillId="0" borderId="4" xfId="14" applyNumberFormat="1" applyFont="1" applyFill="1" applyBorder="1" applyAlignment="1">
      <alignment horizontal="center" vertical="center"/>
    </xf>
    <xf numFmtId="1" fontId="27" fillId="0" borderId="4" xfId="14" applyNumberFormat="1" applyFont="1" applyFill="1" applyBorder="1" applyAlignment="1">
      <alignment vertical="center" wrapText="1"/>
    </xf>
    <xf numFmtId="1" fontId="27" fillId="0" borderId="4" xfId="14" applyNumberFormat="1" applyFont="1" applyFill="1" applyBorder="1" applyAlignment="1">
      <alignment horizontal="center" vertical="center" wrapText="1"/>
    </xf>
    <xf numFmtId="0" fontId="27" fillId="0" borderId="4" xfId="18" applyFont="1" applyFill="1" applyBorder="1" applyAlignment="1">
      <alignment horizontal="center" vertical="center" wrapText="1"/>
    </xf>
    <xf numFmtId="1" fontId="27" fillId="0" borderId="4" xfId="14" applyNumberFormat="1" applyFont="1" applyFill="1" applyBorder="1" applyAlignment="1">
      <alignment horizontal="right" vertical="center"/>
    </xf>
    <xf numFmtId="3" fontId="28" fillId="0" borderId="4" xfId="0" applyNumberFormat="1" applyFont="1" applyFill="1" applyBorder="1" applyAlignment="1">
      <alignment horizontal="left" vertical="center" wrapText="1"/>
    </xf>
    <xf numFmtId="1" fontId="27" fillId="0" borderId="4" xfId="14" quotePrefix="1" applyNumberFormat="1" applyFont="1" applyFill="1" applyBorder="1" applyAlignment="1">
      <alignment horizontal="center" vertical="center"/>
    </xf>
    <xf numFmtId="1" fontId="27" fillId="0" borderId="4" xfId="14" quotePrefix="1" applyNumberFormat="1" applyFont="1" applyFill="1" applyBorder="1" applyAlignment="1">
      <alignment horizontal="center" vertical="center" wrapText="1"/>
    </xf>
    <xf numFmtId="49" fontId="41" fillId="0" borderId="4" xfId="20" applyNumberFormat="1" applyFont="1" applyFill="1" applyBorder="1" applyAlignment="1">
      <alignment horizontal="center" vertical="center"/>
    </xf>
    <xf numFmtId="1" fontId="41" fillId="0" borderId="4" xfId="20" applyNumberFormat="1" applyFont="1" applyFill="1" applyBorder="1" applyAlignment="1">
      <alignment vertical="center" wrapText="1"/>
    </xf>
    <xf numFmtId="3" fontId="27" fillId="0" borderId="4" xfId="0" applyNumberFormat="1" applyFont="1" applyFill="1" applyBorder="1" applyAlignment="1">
      <alignment horizontal="center" vertical="center" wrapText="1"/>
    </xf>
    <xf numFmtId="0" fontId="27" fillId="0" borderId="4" xfId="18" applyFont="1" applyFill="1" applyBorder="1" applyAlignment="1">
      <alignment vertical="center" wrapText="1"/>
    </xf>
    <xf numFmtId="3" fontId="27" fillId="0" borderId="4" xfId="21" applyNumberFormat="1" applyFont="1" applyFill="1" applyBorder="1" applyAlignment="1">
      <alignment horizontal="center" vertical="center" wrapText="1"/>
    </xf>
    <xf numFmtId="1" fontId="27" fillId="0" borderId="4" xfId="20" applyNumberFormat="1" applyFont="1" applyFill="1" applyBorder="1" applyAlignment="1">
      <alignment horizontal="center" vertical="center" wrapText="1"/>
    </xf>
    <xf numFmtId="1" fontId="27" fillId="0" borderId="4" xfId="14" quotePrefix="1" applyNumberFormat="1" applyFont="1" applyFill="1" applyBorder="1" applyAlignment="1">
      <alignment vertical="center" wrapText="1"/>
    </xf>
    <xf numFmtId="0" fontId="27" fillId="0" borderId="4" xfId="22" applyFont="1" applyFill="1" applyBorder="1" applyAlignment="1">
      <alignment horizontal="left" vertical="center" wrapText="1"/>
    </xf>
    <xf numFmtId="0" fontId="27" fillId="0" borderId="4" xfId="0" applyFont="1" applyFill="1" applyBorder="1" applyAlignment="1">
      <alignment horizontal="center" vertical="center" wrapText="1"/>
    </xf>
    <xf numFmtId="172" fontId="27" fillId="0" borderId="4" xfId="18" applyNumberFormat="1" applyFont="1" applyFill="1" applyBorder="1" applyAlignment="1">
      <alignment horizontal="right" vertical="center"/>
    </xf>
    <xf numFmtId="172" fontId="27" fillId="0" borderId="4" xfId="18" applyNumberFormat="1" applyFont="1" applyFill="1" applyBorder="1" applyAlignment="1">
      <alignment horizontal="center" vertical="center" wrapText="1"/>
    </xf>
    <xf numFmtId="0" fontId="27" fillId="0" borderId="4" xfId="0" applyFont="1" applyFill="1" applyBorder="1" applyAlignment="1">
      <alignment horizontal="left" vertical="center" wrapText="1"/>
    </xf>
    <xf numFmtId="3" fontId="27" fillId="0" borderId="4" xfId="14" applyNumberFormat="1" applyFont="1" applyFill="1" applyBorder="1" applyAlignment="1">
      <alignment horizontal="center" vertical="center" wrapText="1"/>
    </xf>
    <xf numFmtId="167" fontId="27" fillId="0" borderId="20" xfId="16" applyNumberFormat="1" applyFont="1" applyFill="1" applyBorder="1" applyAlignment="1">
      <alignment horizontal="right" vertical="center"/>
    </xf>
    <xf numFmtId="167" fontId="27" fillId="0" borderId="4" xfId="16" applyNumberFormat="1" applyFont="1" applyFill="1" applyBorder="1" applyAlignment="1">
      <alignment vertical="center" wrapText="1"/>
    </xf>
    <xf numFmtId="1" fontId="27" fillId="0" borderId="4" xfId="14" applyNumberFormat="1" applyFont="1" applyFill="1" applyBorder="1" applyAlignment="1">
      <alignment horizontal="right" vertical="center" wrapText="1"/>
    </xf>
    <xf numFmtId="167" fontId="27" fillId="0" borderId="0" xfId="16" applyNumberFormat="1" applyFont="1" applyFill="1" applyBorder="1" applyAlignment="1">
      <alignment horizontal="right" vertical="center"/>
    </xf>
    <xf numFmtId="0" fontId="27" fillId="0" borderId="4" xfId="0" applyFont="1" applyFill="1" applyBorder="1" applyAlignment="1">
      <alignment horizontal="center" vertical="center"/>
    </xf>
    <xf numFmtId="0" fontId="27" fillId="0" borderId="4" xfId="18" applyFont="1" applyFill="1" applyBorder="1" applyAlignment="1">
      <alignment horizontal="left" vertical="center" wrapText="1"/>
    </xf>
    <xf numFmtId="0" fontId="27" fillId="0" borderId="4" xfId="30" applyFont="1" applyFill="1" applyBorder="1" applyAlignment="1">
      <alignment horizontal="center" vertical="center" wrapText="1"/>
    </xf>
    <xf numFmtId="3" fontId="27" fillId="0" borderId="4" xfId="14" applyNumberFormat="1" applyFont="1" applyFill="1" applyBorder="1" applyAlignment="1">
      <alignment horizontal="center" vertical="center"/>
    </xf>
    <xf numFmtId="3" fontId="27" fillId="0" borderId="4" xfId="19" applyNumberFormat="1" applyFont="1" applyFill="1" applyBorder="1" applyAlignment="1">
      <alignment vertical="center" wrapText="1"/>
    </xf>
    <xf numFmtId="3" fontId="27" fillId="0" borderId="4" xfId="19" applyNumberFormat="1" applyFont="1" applyFill="1" applyBorder="1" applyAlignment="1">
      <alignment horizontal="center" vertical="center" wrapText="1"/>
    </xf>
    <xf numFmtId="3" fontId="27" fillId="0" borderId="4" xfId="14" applyNumberFormat="1" applyFont="1" applyFill="1" applyBorder="1" applyAlignment="1">
      <alignment horizontal="right" vertical="center"/>
    </xf>
    <xf numFmtId="1" fontId="27" fillId="0" borderId="4" xfId="14" applyNumberFormat="1" applyFont="1" applyFill="1" applyBorder="1" applyAlignment="1">
      <alignment vertical="center"/>
    </xf>
    <xf numFmtId="1" fontId="27" fillId="0" borderId="1" xfId="14" applyNumberFormat="1" applyFont="1" applyFill="1" applyBorder="1" applyAlignment="1">
      <alignment vertical="center"/>
    </xf>
    <xf numFmtId="3" fontId="27" fillId="0" borderId="4" xfId="18" applyNumberFormat="1" applyFont="1" applyFill="1" applyBorder="1" applyAlignment="1">
      <alignment horizontal="center" vertical="center" wrapText="1"/>
    </xf>
    <xf numFmtId="1" fontId="27" fillId="0" borderId="1" xfId="14" applyNumberFormat="1" applyFont="1" applyFill="1" applyBorder="1" applyAlignment="1">
      <alignment horizontal="center" vertical="center" wrapText="1"/>
    </xf>
    <xf numFmtId="1" fontId="31" fillId="0" borderId="4" xfId="14" applyNumberFormat="1" applyFont="1" applyFill="1" applyBorder="1" applyAlignment="1">
      <alignment horizontal="center" vertical="center" wrapText="1"/>
    </xf>
    <xf numFmtId="172" fontId="28" fillId="0" borderId="4" xfId="18" applyNumberFormat="1" applyFont="1" applyFill="1" applyBorder="1" applyAlignment="1">
      <alignment horizontal="right" vertical="center"/>
    </xf>
    <xf numFmtId="172" fontId="41" fillId="0" borderId="4" xfId="18" applyNumberFormat="1" applyFont="1" applyFill="1" applyBorder="1" applyAlignment="1">
      <alignment horizontal="right" vertical="center"/>
    </xf>
    <xf numFmtId="1" fontId="27" fillId="0" borderId="4" xfId="0" quotePrefix="1" applyNumberFormat="1" applyFont="1" applyFill="1" applyBorder="1" applyAlignment="1">
      <alignment vertical="center" wrapText="1"/>
    </xf>
    <xf numFmtId="3" fontId="27" fillId="0" borderId="4" xfId="0" applyNumberFormat="1" applyFont="1" applyFill="1" applyBorder="1" applyAlignment="1">
      <alignment horizontal="center" vertical="center"/>
    </xf>
    <xf numFmtId="3" fontId="27" fillId="0" borderId="4" xfId="0" applyNumberFormat="1" applyFont="1" applyFill="1" applyBorder="1" applyAlignment="1">
      <alignment horizontal="right" vertical="center"/>
    </xf>
    <xf numFmtId="0" fontId="27" fillId="0" borderId="4" xfId="19" applyFont="1" applyFill="1" applyBorder="1" applyAlignment="1">
      <alignment horizontal="center" vertical="center" wrapText="1"/>
    </xf>
    <xf numFmtId="171" fontId="27" fillId="0" borderId="4" xfId="18" applyNumberFormat="1" applyFont="1" applyFill="1" applyBorder="1" applyAlignment="1">
      <alignment horizontal="right" vertical="center"/>
    </xf>
    <xf numFmtId="167" fontId="41" fillId="0" borderId="0" xfId="16" applyNumberFormat="1" applyFont="1" applyFill="1" applyBorder="1" applyAlignment="1">
      <alignment horizontal="right" vertical="center"/>
    </xf>
    <xf numFmtId="1" fontId="41" fillId="0" borderId="0" xfId="14" applyNumberFormat="1" applyFont="1" applyFill="1" applyAlignment="1">
      <alignment horizontal="right" vertical="center"/>
    </xf>
    <xf numFmtId="0" fontId="27" fillId="0" borderId="4" xfId="0" applyFont="1" applyFill="1" applyBorder="1" applyAlignment="1">
      <alignment vertical="center" wrapText="1"/>
    </xf>
    <xf numFmtId="0" fontId="27" fillId="0" borderId="4" xfId="6" applyFont="1" applyFill="1" applyBorder="1" applyAlignment="1">
      <alignment horizontal="center" vertical="center" wrapText="1"/>
    </xf>
    <xf numFmtId="3" fontId="27" fillId="0" borderId="4" xfId="6" applyNumberFormat="1" applyFont="1" applyFill="1" applyBorder="1" applyAlignment="1">
      <alignment horizontal="center" vertical="center" wrapText="1"/>
    </xf>
    <xf numFmtId="3" fontId="27" fillId="0" borderId="4" xfId="18" applyNumberFormat="1" applyFont="1" applyFill="1" applyBorder="1" applyAlignment="1">
      <alignment vertical="center" wrapText="1"/>
    </xf>
    <xf numFmtId="171" fontId="41" fillId="0" borderId="4" xfId="18" applyNumberFormat="1" applyFont="1" applyFill="1" applyBorder="1" applyAlignment="1">
      <alignment horizontal="right" vertical="center"/>
    </xf>
    <xf numFmtId="0" fontId="27" fillId="0" borderId="4" xfId="0" applyFont="1" applyFill="1" applyBorder="1" applyAlignment="1">
      <alignment horizontal="left" vertical="center"/>
    </xf>
    <xf numFmtId="3" fontId="27" fillId="0" borderId="4" xfId="14" quotePrefix="1" applyNumberFormat="1" applyFont="1" applyFill="1" applyBorder="1" applyAlignment="1">
      <alignment vertical="center" wrapText="1"/>
    </xf>
    <xf numFmtId="3" fontId="27" fillId="0" borderId="4" xfId="20" applyNumberFormat="1" applyFont="1" applyFill="1" applyBorder="1" applyAlignment="1">
      <alignment vertical="center" wrapText="1"/>
    </xf>
    <xf numFmtId="167" fontId="41" fillId="0" borderId="4" xfId="23" applyNumberFormat="1" applyFont="1" applyFill="1" applyBorder="1" applyAlignment="1">
      <alignment horizontal="right" vertical="center" wrapText="1"/>
    </xf>
    <xf numFmtId="3" fontId="27" fillId="0" borderId="4" xfId="14" quotePrefix="1" applyNumberFormat="1" applyFont="1" applyFill="1" applyBorder="1" applyAlignment="1">
      <alignment horizontal="center" vertical="center"/>
    </xf>
    <xf numFmtId="3" fontId="41" fillId="0" borderId="4" xfId="14" applyNumberFormat="1" applyFont="1" applyFill="1" applyBorder="1" applyAlignment="1">
      <alignment horizontal="center" vertical="center"/>
    </xf>
    <xf numFmtId="3" fontId="41" fillId="0" borderId="4" xfId="14" applyNumberFormat="1" applyFont="1" applyFill="1" applyBorder="1" applyAlignment="1">
      <alignment vertical="center" wrapText="1"/>
    </xf>
    <xf numFmtId="0" fontId="27" fillId="0" borderId="4" xfId="19" applyFont="1" applyFill="1" applyBorder="1" applyAlignment="1">
      <alignment vertical="center" wrapText="1"/>
    </xf>
    <xf numFmtId="3" fontId="28" fillId="0" borderId="4" xfId="14" applyNumberFormat="1" applyFont="1" applyFill="1" applyBorder="1" applyAlignment="1">
      <alignment horizontal="center" vertical="center"/>
    </xf>
    <xf numFmtId="3" fontId="28" fillId="0" borderId="4" xfId="14" applyNumberFormat="1" applyFont="1" applyFill="1" applyBorder="1" applyAlignment="1">
      <alignment vertical="center" wrapText="1"/>
    </xf>
    <xf numFmtId="3" fontId="28" fillId="0" borderId="4" xfId="14" applyNumberFormat="1" applyFont="1" applyFill="1" applyBorder="1" applyAlignment="1">
      <alignment horizontal="right" vertical="center"/>
    </xf>
    <xf numFmtId="3" fontId="41" fillId="0" borderId="4" xfId="14" applyNumberFormat="1" applyFont="1" applyFill="1" applyBorder="1" applyAlignment="1">
      <alignment horizontal="center" vertical="center" wrapText="1"/>
    </xf>
    <xf numFmtId="3" fontId="41" fillId="0" borderId="4" xfId="14" applyNumberFormat="1" applyFont="1" applyFill="1" applyBorder="1" applyAlignment="1">
      <alignment horizontal="right" vertical="center"/>
    </xf>
    <xf numFmtId="3" fontId="27" fillId="0" borderId="4" xfId="0" applyNumberFormat="1" applyFont="1" applyFill="1" applyBorder="1" applyAlignment="1">
      <alignment vertical="center" wrapText="1"/>
    </xf>
    <xf numFmtId="3" fontId="27" fillId="0" borderId="4" xfId="14" applyNumberFormat="1" applyFont="1" applyFill="1" applyBorder="1" applyAlignment="1">
      <alignment vertical="center"/>
    </xf>
    <xf numFmtId="0" fontId="28" fillId="0" borderId="4" xfId="0" applyFont="1" applyFill="1" applyBorder="1" applyAlignment="1">
      <alignment horizontal="center" vertical="center"/>
    </xf>
    <xf numFmtId="0" fontId="41" fillId="0" borderId="4" xfId="18" applyFont="1" applyFill="1" applyBorder="1" applyAlignment="1">
      <alignment horizontal="center" vertical="center" wrapText="1"/>
    </xf>
    <xf numFmtId="167" fontId="41" fillId="0" borderId="4" xfId="23" applyNumberFormat="1" applyFont="1" applyFill="1" applyBorder="1" applyAlignment="1">
      <alignment horizontal="right" vertical="center"/>
    </xf>
    <xf numFmtId="1" fontId="41" fillId="0" borderId="4" xfId="14" applyNumberFormat="1" applyFont="1" applyFill="1" applyBorder="1" applyAlignment="1">
      <alignment vertical="center"/>
    </xf>
    <xf numFmtId="0" fontId="31" fillId="0" borderId="4" xfId="0" applyFont="1" applyFill="1" applyBorder="1" applyAlignment="1">
      <alignment horizontal="center" vertical="center" wrapText="1"/>
    </xf>
    <xf numFmtId="1" fontId="31" fillId="0" borderId="4" xfId="14" quotePrefix="1" applyNumberFormat="1" applyFont="1" applyFill="1" applyBorder="1" applyAlignment="1">
      <alignment horizontal="center" vertical="center" wrapText="1"/>
    </xf>
    <xf numFmtId="3" fontId="31" fillId="0" borderId="4" xfId="14" applyNumberFormat="1" applyFont="1" applyFill="1" applyBorder="1" applyAlignment="1">
      <alignment horizontal="center" vertical="center" wrapText="1"/>
    </xf>
    <xf numFmtId="167" fontId="31" fillId="0" borderId="0" xfId="16" applyNumberFormat="1" applyFont="1" applyFill="1" applyBorder="1" applyAlignment="1">
      <alignment horizontal="right" vertical="center"/>
    </xf>
    <xf numFmtId="3" fontId="31" fillId="0" borderId="0" xfId="14" applyNumberFormat="1" applyFont="1" applyFill="1" applyAlignment="1">
      <alignment vertical="center" wrapText="1"/>
    </xf>
    <xf numFmtId="0" fontId="27" fillId="0" borderId="4" xfId="18" quotePrefix="1" applyFont="1" applyFill="1" applyBorder="1" applyAlignment="1">
      <alignment horizontal="center" vertical="center" wrapText="1"/>
    </xf>
    <xf numFmtId="167" fontId="27" fillId="0" borderId="4" xfId="24" applyNumberFormat="1" applyFont="1" applyFill="1" applyBorder="1" applyAlignment="1">
      <alignment horizontal="left" vertical="center" wrapText="1"/>
    </xf>
    <xf numFmtId="167" fontId="27" fillId="0" borderId="4" xfId="16" applyNumberFormat="1" applyFont="1" applyFill="1" applyBorder="1" applyAlignment="1">
      <alignment vertical="center"/>
    </xf>
    <xf numFmtId="167" fontId="28" fillId="0" borderId="4" xfId="23" applyNumberFormat="1" applyFont="1" applyFill="1" applyBorder="1" applyAlignment="1">
      <alignment horizontal="right" vertical="center" wrapText="1"/>
    </xf>
    <xf numFmtId="0" fontId="31" fillId="0" borderId="4" xfId="0" applyFont="1" applyFill="1" applyBorder="1" applyAlignment="1">
      <alignment horizontal="center" vertical="center"/>
    </xf>
    <xf numFmtId="49" fontId="28" fillId="0" borderId="4" xfId="14" quotePrefix="1" applyNumberFormat="1" applyFont="1" applyFill="1" applyBorder="1" applyAlignment="1">
      <alignment horizontal="center" vertical="center" wrapText="1"/>
    </xf>
    <xf numFmtId="3" fontId="28" fillId="0" borderId="4" xfId="14" quotePrefix="1" applyNumberFormat="1" applyFont="1" applyFill="1" applyBorder="1" applyAlignment="1">
      <alignment horizontal="center" vertical="center" wrapText="1"/>
    </xf>
    <xf numFmtId="1" fontId="27" fillId="0" borderId="4" xfId="14" applyNumberFormat="1" applyFont="1" applyFill="1" applyBorder="1" applyAlignment="1">
      <alignment horizontal="center" vertical="center"/>
    </xf>
    <xf numFmtId="167" fontId="27" fillId="0" borderId="4" xfId="26" applyNumberFormat="1" applyFont="1" applyFill="1" applyBorder="1" applyAlignment="1">
      <alignment horizontal="center" vertical="center" wrapText="1"/>
    </xf>
    <xf numFmtId="167" fontId="27" fillId="0" borderId="4" xfId="26" applyNumberFormat="1" applyFont="1" applyFill="1" applyBorder="1" applyAlignment="1">
      <alignment horizontal="right" vertical="center"/>
    </xf>
    <xf numFmtId="49" fontId="27" fillId="0" borderId="4" xfId="20" applyNumberFormat="1" applyFont="1" applyFill="1" applyBorder="1" applyAlignment="1">
      <alignment horizontal="center" vertical="center"/>
    </xf>
    <xf numFmtId="1" fontId="27" fillId="0" borderId="4" xfId="20" applyNumberFormat="1" applyFont="1" applyFill="1" applyBorder="1" applyAlignment="1">
      <alignment vertical="center" wrapText="1"/>
    </xf>
    <xf numFmtId="3" fontId="27" fillId="0" borderId="4" xfId="14" quotePrefix="1" applyNumberFormat="1" applyFont="1" applyFill="1" applyBorder="1" applyAlignment="1">
      <alignment horizontal="right" vertical="center" wrapText="1"/>
    </xf>
    <xf numFmtId="3" fontId="41" fillId="0" borderId="4" xfId="14" quotePrefix="1" applyNumberFormat="1" applyFont="1" applyFill="1" applyBorder="1" applyAlignment="1">
      <alignment horizontal="center" vertical="center" wrapText="1"/>
    </xf>
    <xf numFmtId="3" fontId="41" fillId="0" borderId="4" xfId="14" quotePrefix="1" applyNumberFormat="1" applyFont="1" applyFill="1" applyBorder="1" applyAlignment="1">
      <alignment horizontal="right" vertical="center" wrapText="1"/>
    </xf>
    <xf numFmtId="3" fontId="41" fillId="0" borderId="0" xfId="14" applyNumberFormat="1" applyFont="1" applyFill="1" applyAlignment="1">
      <alignment vertical="center" wrapText="1"/>
    </xf>
    <xf numFmtId="172" fontId="27" fillId="0" borderId="4" xfId="0" applyNumberFormat="1" applyFont="1" applyFill="1" applyBorder="1" applyAlignment="1">
      <alignment horizontal="right" vertical="center" wrapText="1"/>
    </xf>
    <xf numFmtId="3" fontId="27" fillId="0" borderId="4" xfId="19" applyNumberFormat="1" applyFont="1" applyFill="1" applyBorder="1" applyAlignment="1">
      <alignment vertical="center"/>
    </xf>
    <xf numFmtId="1" fontId="28" fillId="0" borderId="4" xfId="14" applyNumberFormat="1" applyFont="1" applyFill="1" applyBorder="1" applyAlignment="1">
      <alignment vertical="center"/>
    </xf>
    <xf numFmtId="49" fontId="27" fillId="0" borderId="4" xfId="25" applyNumberFormat="1" applyFont="1" applyFill="1" applyBorder="1" applyAlignment="1">
      <alignment horizontal="left" vertical="center" wrapText="1"/>
    </xf>
    <xf numFmtId="3" fontId="27" fillId="0" borderId="4" xfId="26" applyNumberFormat="1" applyFont="1" applyFill="1" applyBorder="1" applyAlignment="1">
      <alignment horizontal="center" vertical="center" wrapText="1"/>
    </xf>
    <xf numFmtId="1" fontId="31" fillId="0" borderId="4" xfId="14" applyNumberFormat="1" applyFont="1" applyFill="1" applyBorder="1" applyAlignment="1">
      <alignment horizontal="right" vertical="center"/>
    </xf>
    <xf numFmtId="1" fontId="31" fillId="0" borderId="4" xfId="14" applyNumberFormat="1" applyFont="1" applyFill="1" applyBorder="1" applyAlignment="1">
      <alignment vertical="center"/>
    </xf>
    <xf numFmtId="1" fontId="41" fillId="0" borderId="4" xfId="14" quotePrefix="1" applyNumberFormat="1" applyFont="1" applyFill="1" applyBorder="1" applyAlignment="1">
      <alignment horizontal="center" vertical="center" wrapText="1"/>
    </xf>
    <xf numFmtId="3" fontId="27" fillId="0" borderId="4" xfId="19" applyNumberFormat="1" applyFont="1" applyFill="1" applyBorder="1" applyAlignment="1">
      <alignment horizontal="right" vertical="center"/>
    </xf>
    <xf numFmtId="164" fontId="41" fillId="0" borderId="4" xfId="27" applyFont="1" applyFill="1" applyBorder="1" applyAlignment="1">
      <alignment horizontal="right" vertical="center"/>
    </xf>
    <xf numFmtId="1" fontId="27" fillId="0" borderId="4" xfId="14" applyNumberFormat="1" applyFont="1" applyFill="1" applyBorder="1" applyAlignment="1">
      <alignment horizontal="left" vertical="center" wrapText="1"/>
    </xf>
    <xf numFmtId="0" fontId="28" fillId="0" borderId="4" xfId="19" applyFont="1" applyFill="1" applyBorder="1" applyAlignment="1">
      <alignment vertical="center" wrapText="1"/>
    </xf>
    <xf numFmtId="3" fontId="27" fillId="0" borderId="4" xfId="14" quotePrefix="1" applyNumberFormat="1" applyFont="1" applyFill="1" applyBorder="1" applyAlignment="1">
      <alignment horizontal="left" vertical="center" wrapText="1"/>
    </xf>
    <xf numFmtId="1" fontId="41" fillId="0" borderId="4" xfId="14" applyNumberFormat="1" applyFont="1" applyFill="1" applyBorder="1" applyAlignment="1">
      <alignment horizontal="right" vertical="center" wrapText="1"/>
    </xf>
    <xf numFmtId="172" fontId="27" fillId="0" borderId="4" xfId="0" applyNumberFormat="1" applyFont="1" applyFill="1" applyBorder="1" applyAlignment="1">
      <alignment horizontal="right" vertical="center"/>
    </xf>
    <xf numFmtId="49" fontId="27" fillId="0" borderId="4" xfId="14" applyNumberFormat="1" applyFont="1" applyFill="1" applyBorder="1" applyAlignment="1">
      <alignment vertical="center"/>
    </xf>
    <xf numFmtId="49" fontId="27" fillId="0" borderId="5" xfId="14" applyNumberFormat="1" applyFont="1" applyFill="1" applyBorder="1" applyAlignment="1">
      <alignment vertical="center"/>
    </xf>
    <xf numFmtId="1" fontId="27" fillId="0" borderId="5" xfId="14" applyNumberFormat="1" applyFont="1" applyFill="1" applyBorder="1" applyAlignment="1">
      <alignment vertical="center"/>
    </xf>
    <xf numFmtId="49" fontId="27" fillId="0" borderId="0" xfId="14" applyNumberFormat="1" applyFont="1" applyFill="1" applyAlignment="1">
      <alignment vertical="center"/>
    </xf>
    <xf numFmtId="49" fontId="27" fillId="0" borderId="0" xfId="14" applyNumberFormat="1" applyFont="1" applyFill="1" applyAlignment="1">
      <alignment horizontal="center" vertical="center"/>
    </xf>
    <xf numFmtId="1" fontId="27" fillId="0" borderId="0" xfId="14" applyNumberFormat="1" applyFont="1" applyFill="1" applyAlignment="1">
      <alignment vertical="center" wrapText="1"/>
    </xf>
    <xf numFmtId="1" fontId="27" fillId="0" borderId="0" xfId="14" applyNumberFormat="1" applyFont="1" applyFill="1" applyAlignment="1">
      <alignment horizontal="center" vertical="center" wrapText="1"/>
    </xf>
    <xf numFmtId="0" fontId="28" fillId="0" borderId="0" xfId="0" applyFont="1" applyFill="1" applyAlignment="1">
      <alignment horizontal="center" vertical="center"/>
    </xf>
    <xf numFmtId="0" fontId="32" fillId="0" borderId="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6" xfId="0" applyFont="1" applyFill="1" applyBorder="1" applyAlignment="1">
      <alignment horizontal="justify" vertical="center" wrapText="1"/>
    </xf>
    <xf numFmtId="0" fontId="33" fillId="0" borderId="6" xfId="0" applyFont="1" applyFill="1" applyBorder="1" applyAlignment="1">
      <alignment vertical="center" wrapText="1"/>
    </xf>
    <xf numFmtId="0" fontId="32" fillId="0" borderId="4" xfId="0" applyFont="1" applyFill="1" applyBorder="1" applyAlignment="1">
      <alignment horizontal="center" vertical="center" wrapText="1"/>
    </xf>
    <xf numFmtId="0" fontId="32" fillId="0" borderId="4" xfId="0" applyFont="1" applyFill="1" applyBorder="1" applyAlignment="1">
      <alignment horizontal="justify" vertical="center" wrapText="1"/>
    </xf>
    <xf numFmtId="0" fontId="33" fillId="0" borderId="4" xfId="0" applyFont="1" applyFill="1" applyBorder="1" applyAlignment="1">
      <alignment vertical="center" wrapText="1"/>
    </xf>
    <xf numFmtId="0" fontId="34" fillId="0" borderId="4" xfId="0" applyFont="1" applyFill="1" applyBorder="1" applyAlignment="1">
      <alignment horizontal="center" vertical="center" wrapText="1"/>
    </xf>
    <xf numFmtId="0" fontId="34" fillId="0" borderId="4" xfId="0" applyFont="1" applyFill="1" applyBorder="1" applyAlignment="1">
      <alignment vertical="center" wrapText="1"/>
    </xf>
    <xf numFmtId="0" fontId="32" fillId="0" borderId="4" xfId="0" applyFont="1" applyFill="1" applyBorder="1" applyAlignment="1">
      <alignment vertical="center" wrapText="1"/>
    </xf>
    <xf numFmtId="0" fontId="34" fillId="0" borderId="1" xfId="0" applyFont="1" applyFill="1" applyBorder="1" applyAlignment="1">
      <alignment vertical="center" wrapText="1"/>
    </xf>
    <xf numFmtId="0" fontId="27" fillId="0" borderId="1" xfId="0" applyFont="1" applyFill="1" applyBorder="1" applyAlignment="1">
      <alignment wrapText="1"/>
    </xf>
    <xf numFmtId="0" fontId="27"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33" fillId="0" borderId="4" xfId="0" applyFont="1" applyFill="1" applyBorder="1" applyAlignment="1">
      <alignment horizontal="center" vertical="center" wrapText="1"/>
    </xf>
    <xf numFmtId="0" fontId="29" fillId="0" borderId="0" xfId="0" applyFont="1" applyFill="1" applyAlignment="1">
      <alignment horizontal="center"/>
    </xf>
    <xf numFmtId="0" fontId="29" fillId="0" borderId="0" xfId="0" applyFont="1" applyFill="1"/>
    <xf numFmtId="1" fontId="55" fillId="0" borderId="0" xfId="14" applyNumberFormat="1" applyFont="1" applyAlignment="1">
      <alignment vertical="center"/>
    </xf>
    <xf numFmtId="1" fontId="6" fillId="0" borderId="0" xfId="14" applyNumberFormat="1" applyFont="1" applyAlignment="1">
      <alignment horizontal="center" vertical="center" wrapText="1"/>
    </xf>
    <xf numFmtId="0" fontId="15" fillId="0" borderId="0" xfId="0" applyFont="1" applyAlignment="1">
      <alignment horizontal="right" vertical="center" wrapText="1"/>
    </xf>
    <xf numFmtId="0" fontId="11" fillId="0" borderId="0" xfId="0" applyFont="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right"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1" fontId="4" fillId="0" borderId="0" xfId="14" applyNumberFormat="1" applyFont="1" applyFill="1" applyAlignment="1">
      <alignment horizontal="center" vertical="center" wrapText="1"/>
    </xf>
    <xf numFmtId="0" fontId="54"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11" fillId="0" borderId="0" xfId="0" applyFont="1" applyFill="1" applyAlignment="1">
      <alignment horizontal="center" vertical="center" wrapText="1"/>
    </xf>
    <xf numFmtId="0" fontId="16" fillId="0" borderId="8" xfId="0" applyFont="1" applyFill="1" applyBorder="1" applyAlignment="1">
      <alignment horizontal="right"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1" fontId="5" fillId="0" borderId="0" xfId="14" applyNumberFormat="1" applyFont="1" applyFill="1" applyBorder="1" applyAlignment="1">
      <alignment horizontal="right" vertical="center"/>
    </xf>
    <xf numFmtId="49" fontId="19" fillId="0" borderId="1" xfId="14"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1" fontId="56" fillId="0" borderId="0" xfId="14" applyNumberFormat="1" applyFont="1" applyFill="1" applyAlignment="1">
      <alignment horizontal="center" vertical="center"/>
    </xf>
    <xf numFmtId="1" fontId="56" fillId="0" borderId="0" xfId="14" applyNumberFormat="1" applyFont="1" applyFill="1" applyAlignment="1">
      <alignment horizontal="center" vertical="center" wrapText="1"/>
    </xf>
    <xf numFmtId="1" fontId="57" fillId="0" borderId="0" xfId="14" applyNumberFormat="1" applyFont="1" applyFill="1" applyAlignment="1">
      <alignment horizontal="center" vertical="center" wrapText="1"/>
    </xf>
    <xf numFmtId="0" fontId="21" fillId="0" borderId="1" xfId="6" applyFont="1" applyFill="1" applyBorder="1" applyAlignment="1">
      <alignment horizontal="center" vertical="center" wrapText="1"/>
    </xf>
    <xf numFmtId="0" fontId="30" fillId="0" borderId="1" xfId="0" applyFont="1" applyFill="1" applyBorder="1"/>
    <xf numFmtId="3" fontId="20" fillId="0" borderId="1" xfId="14" applyNumberFormat="1" applyFont="1" applyFill="1" applyBorder="1" applyAlignment="1">
      <alignment horizontal="center" vertical="center" wrapText="1"/>
    </xf>
    <xf numFmtId="3" fontId="4" fillId="0" borderId="1" xfId="14" applyNumberFormat="1" applyFont="1" applyFill="1" applyBorder="1" applyAlignment="1">
      <alignment horizontal="center" vertical="center" wrapText="1"/>
    </xf>
    <xf numFmtId="1" fontId="7" fillId="0" borderId="0" xfId="14" applyNumberFormat="1" applyFont="1" applyFill="1" applyAlignment="1">
      <alignment horizontal="left" vertical="center" wrapText="1"/>
    </xf>
    <xf numFmtId="3" fontId="4" fillId="0" borderId="7" xfId="14" applyNumberFormat="1" applyFont="1" applyBorder="1" applyAlignment="1">
      <alignment horizontal="center" vertical="center" wrapText="1"/>
    </xf>
    <xf numFmtId="3" fontId="4" fillId="0" borderId="12" xfId="14" applyNumberFormat="1" applyFont="1" applyBorder="1" applyAlignment="1">
      <alignment horizontal="center" vertical="center" wrapText="1"/>
    </xf>
    <xf numFmtId="3" fontId="4" fillId="0" borderId="2" xfId="14" applyNumberFormat="1" applyFont="1" applyBorder="1" applyAlignment="1">
      <alignment horizontal="center" vertical="center" wrapText="1"/>
    </xf>
    <xf numFmtId="3" fontId="4" fillId="0" borderId="1" xfId="14" applyNumberFormat="1" applyFont="1" applyBorder="1" applyAlignment="1">
      <alignment horizontal="center" vertical="center" wrapText="1"/>
    </xf>
    <xf numFmtId="1" fontId="36" fillId="0" borderId="0" xfId="14" applyNumberFormat="1" applyFont="1" applyAlignment="1">
      <alignment horizontal="center" vertical="center" wrapText="1"/>
    </xf>
    <xf numFmtId="1" fontId="22" fillId="0" borderId="8" xfId="14" applyNumberFormat="1" applyFont="1" applyBorder="1" applyAlignment="1">
      <alignment horizontal="right" vertical="center"/>
    </xf>
    <xf numFmtId="3" fontId="5" fillId="0" borderId="1" xfId="14" applyNumberFormat="1" applyFont="1" applyBorder="1" applyAlignment="1">
      <alignment horizontal="left" vertical="center" wrapText="1"/>
    </xf>
    <xf numFmtId="3" fontId="4" fillId="0" borderId="9" xfId="14" applyNumberFormat="1" applyFont="1" applyBorder="1" applyAlignment="1">
      <alignment horizontal="center" vertical="center" wrapText="1"/>
    </xf>
    <xf numFmtId="3" fontId="4" fillId="0" borderId="10" xfId="14" applyNumberFormat="1" applyFont="1" applyBorder="1" applyAlignment="1">
      <alignment horizontal="center" vertical="center" wrapText="1"/>
    </xf>
    <xf numFmtId="3" fontId="4" fillId="0" borderId="11" xfId="14" applyNumberFormat="1" applyFont="1" applyBorder="1" applyAlignment="1">
      <alignment horizontal="center" vertical="center" wrapText="1"/>
    </xf>
    <xf numFmtId="3" fontId="4" fillId="0" borderId="13" xfId="14" applyNumberFormat="1" applyFont="1" applyBorder="1" applyAlignment="1">
      <alignment horizontal="center" vertical="center" wrapText="1"/>
    </xf>
    <xf numFmtId="3" fontId="4" fillId="0" borderId="14" xfId="14" applyNumberFormat="1" applyFont="1" applyBorder="1" applyAlignment="1">
      <alignment horizontal="center" vertical="center" wrapText="1"/>
    </xf>
    <xf numFmtId="3" fontId="4" fillId="0" borderId="16" xfId="14" applyNumberFormat="1" applyFont="1" applyBorder="1" applyAlignment="1">
      <alignment horizontal="center" vertical="center" wrapText="1"/>
    </xf>
    <xf numFmtId="3" fontId="4" fillId="0" borderId="8" xfId="14" applyNumberFormat="1" applyFont="1" applyBorder="1" applyAlignment="1">
      <alignment horizontal="center" vertical="center" wrapText="1"/>
    </xf>
    <xf numFmtId="3" fontId="5" fillId="0" borderId="1" xfId="14" applyNumberFormat="1" applyFont="1" applyBorder="1" applyAlignment="1">
      <alignment vertical="center" wrapText="1"/>
    </xf>
    <xf numFmtId="3" fontId="4" fillId="0" borderId="1" xfId="14" applyNumberFormat="1" applyFont="1" applyBorder="1" applyAlignment="1">
      <alignment vertical="center" wrapText="1"/>
    </xf>
    <xf numFmtId="3" fontId="5" fillId="0" borderId="9" xfId="14" applyNumberFormat="1" applyFont="1" applyBorder="1" applyAlignment="1">
      <alignment vertical="center" wrapText="1"/>
    </xf>
    <xf numFmtId="3" fontId="5" fillId="0" borderId="10" xfId="14" applyNumberFormat="1" applyFont="1" applyBorder="1" applyAlignment="1">
      <alignment vertical="center" wrapText="1"/>
    </xf>
    <xf numFmtId="3" fontId="5" fillId="0" borderId="11" xfId="14" applyNumberFormat="1" applyFont="1" applyBorder="1" applyAlignment="1">
      <alignment vertical="center" wrapText="1"/>
    </xf>
    <xf numFmtId="1" fontId="35" fillId="0" borderId="0" xfId="14" applyNumberFormat="1" applyFont="1" applyAlignment="1">
      <alignment horizontal="center" vertical="center" wrapText="1"/>
    </xf>
    <xf numFmtId="1" fontId="37" fillId="0" borderId="0" xfId="14" applyNumberFormat="1" applyFont="1" applyAlignment="1">
      <alignment horizontal="center" vertical="center" wrapText="1"/>
    </xf>
    <xf numFmtId="3" fontId="4" fillId="0" borderId="15" xfId="14" applyNumberFormat="1" applyFont="1" applyBorder="1" applyAlignment="1">
      <alignment horizontal="center" vertical="center" wrapText="1"/>
    </xf>
    <xf numFmtId="3" fontId="4" fillId="0" borderId="17" xfId="14" applyNumberFormat="1" applyFont="1" applyBorder="1" applyAlignment="1">
      <alignment horizontal="center" vertical="center" wrapText="1"/>
    </xf>
    <xf numFmtId="1" fontId="58" fillId="0" borderId="0" xfId="14" applyNumberFormat="1" applyFont="1" applyFill="1" applyAlignment="1">
      <alignment horizontal="center" vertical="center"/>
    </xf>
    <xf numFmtId="1" fontId="58" fillId="0" borderId="0" xfId="14" applyNumberFormat="1" applyFont="1" applyFill="1" applyAlignment="1">
      <alignment horizontal="center" vertical="center" wrapText="1"/>
    </xf>
    <xf numFmtId="1" fontId="59" fillId="0" borderId="0" xfId="14" applyNumberFormat="1" applyFont="1" applyFill="1" applyAlignment="1">
      <alignment horizontal="center" vertical="center" wrapText="1"/>
    </xf>
    <xf numFmtId="1" fontId="31" fillId="0" borderId="8" xfId="14" applyNumberFormat="1" applyFont="1" applyFill="1" applyBorder="1" applyAlignment="1">
      <alignment horizontal="right" vertical="center"/>
    </xf>
    <xf numFmtId="49" fontId="28" fillId="0" borderId="1" xfId="14" applyNumberFormat="1" applyFont="1" applyFill="1" applyBorder="1" applyAlignment="1">
      <alignment horizontal="center" vertical="center" wrapText="1"/>
    </xf>
    <xf numFmtId="3" fontId="28" fillId="0" borderId="1" xfId="14" applyNumberFormat="1" applyFont="1" applyFill="1" applyBorder="1" applyAlignment="1">
      <alignment horizontal="center" vertical="center" wrapText="1"/>
    </xf>
    <xf numFmtId="0" fontId="28" fillId="0" borderId="1" xfId="6" applyFont="1" applyFill="1" applyBorder="1" applyAlignment="1">
      <alignment horizontal="center" vertical="center" wrapText="1"/>
    </xf>
    <xf numFmtId="3" fontId="28" fillId="0" borderId="7" xfId="14" applyNumberFormat="1" applyFont="1" applyFill="1" applyBorder="1" applyAlignment="1">
      <alignment horizontal="center" vertical="center" wrapText="1"/>
    </xf>
    <xf numFmtId="3" fontId="28" fillId="0" borderId="12" xfId="14" applyNumberFormat="1" applyFont="1" applyFill="1" applyBorder="1" applyAlignment="1">
      <alignment horizontal="center" vertical="center" wrapText="1"/>
    </xf>
    <xf numFmtId="3" fontId="28" fillId="0" borderId="2" xfId="14" applyNumberFormat="1" applyFont="1" applyFill="1" applyBorder="1" applyAlignment="1">
      <alignment horizontal="center" vertical="center" wrapText="1"/>
    </xf>
    <xf numFmtId="3" fontId="28" fillId="0" borderId="13" xfId="14" applyNumberFormat="1" applyFont="1" applyFill="1" applyBorder="1" applyAlignment="1">
      <alignment horizontal="center" vertical="center" wrapText="1"/>
    </xf>
    <xf numFmtId="0" fontId="28" fillId="0" borderId="14" xfId="0" applyFont="1" applyFill="1" applyBorder="1"/>
    <xf numFmtId="0" fontId="28" fillId="0" borderId="15" xfId="0" applyFont="1" applyFill="1" applyBorder="1"/>
    <xf numFmtId="0" fontId="28" fillId="0" borderId="16" xfId="0" applyFont="1" applyFill="1" applyBorder="1"/>
    <xf numFmtId="0" fontId="28" fillId="0" borderId="8" xfId="0" applyFont="1" applyFill="1" applyBorder="1"/>
    <xf numFmtId="0" fontId="28" fillId="0" borderId="17" xfId="0" applyFont="1" applyFill="1" applyBorder="1"/>
    <xf numFmtId="3" fontId="28" fillId="0" borderId="9" xfId="14" applyNumberFormat="1" applyFont="1" applyFill="1" applyBorder="1" applyAlignment="1">
      <alignment horizontal="center" vertical="center" wrapText="1"/>
    </xf>
    <xf numFmtId="3" fontId="28" fillId="0" borderId="10" xfId="14" applyNumberFormat="1" applyFont="1" applyFill="1" applyBorder="1" applyAlignment="1">
      <alignment horizontal="center" vertical="center" wrapText="1"/>
    </xf>
    <xf numFmtId="3" fontId="28" fillId="0" borderId="11" xfId="14" applyNumberFormat="1" applyFont="1" applyFill="1" applyBorder="1" applyAlignment="1">
      <alignment horizontal="center" vertical="center" wrapText="1"/>
    </xf>
    <xf numFmtId="3" fontId="28" fillId="0" borderId="15" xfId="14" applyNumberFormat="1" applyFont="1" applyFill="1" applyBorder="1" applyAlignment="1">
      <alignment horizontal="center" vertical="center" wrapText="1"/>
    </xf>
    <xf numFmtId="3" fontId="28" fillId="0" borderId="18" xfId="14" applyNumberFormat="1" applyFont="1" applyFill="1" applyBorder="1" applyAlignment="1">
      <alignment horizontal="center" vertical="center" wrapText="1"/>
    </xf>
    <xf numFmtId="3" fontId="28" fillId="0" borderId="19" xfId="14" applyNumberFormat="1" applyFont="1" applyFill="1" applyBorder="1" applyAlignment="1">
      <alignment horizontal="center" vertical="center" wrapText="1"/>
    </xf>
    <xf numFmtId="3" fontId="41" fillId="0" borderId="1" xfId="14" applyNumberFormat="1" applyFont="1" applyFill="1" applyBorder="1" applyAlignment="1">
      <alignment horizontal="center" vertical="center" wrapText="1"/>
    </xf>
    <xf numFmtId="0" fontId="29" fillId="0" borderId="0" xfId="0" quotePrefix="1" applyFont="1" applyFill="1" applyAlignment="1">
      <alignment horizontal="left" vertical="top"/>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0" fontId="31" fillId="0" borderId="0" xfId="0" applyFont="1" applyFill="1" applyAlignment="1">
      <alignment horizontal="center" vertical="center" wrapText="1"/>
    </xf>
    <xf numFmtId="0" fontId="32" fillId="2" borderId="1"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7" xfId="0" applyFont="1" applyFill="1" applyBorder="1" applyAlignment="1">
      <alignment horizontal="center" vertical="center" wrapText="1"/>
    </xf>
    <xf numFmtId="1" fontId="35" fillId="0" borderId="0" xfId="14" applyNumberFormat="1" applyFont="1" applyAlignment="1">
      <alignment horizontal="center" vertical="center"/>
    </xf>
    <xf numFmtId="1" fontId="55" fillId="0" borderId="0" xfId="14" applyNumberFormat="1" applyFont="1" applyAlignment="1">
      <alignment horizontal="center" vertical="center" wrapText="1"/>
    </xf>
    <xf numFmtId="1" fontId="3" fillId="0" borderId="8" xfId="14" applyNumberFormat="1" applyFont="1" applyBorder="1" applyAlignment="1">
      <alignment horizontal="right" vertical="center"/>
    </xf>
    <xf numFmtId="0" fontId="32" fillId="2" borderId="14"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19" xfId="0" applyFont="1" applyFill="1" applyBorder="1" applyAlignment="1">
      <alignment horizontal="center" vertical="center" wrapText="1"/>
    </xf>
    <xf numFmtId="0" fontId="32" fillId="2" borderId="8" xfId="0" applyFont="1" applyFill="1" applyBorder="1" applyAlignment="1">
      <alignment horizontal="center" vertical="center" wrapText="1"/>
    </xf>
    <xf numFmtId="1" fontId="5" fillId="0" borderId="8" xfId="14" applyNumberFormat="1" applyFont="1" applyBorder="1" applyAlignment="1">
      <alignment horizontal="right" vertical="center"/>
    </xf>
    <xf numFmtId="0" fontId="32" fillId="2" borderId="9"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29" fillId="0" borderId="0" xfId="0" quotePrefix="1" applyFont="1" applyAlignment="1">
      <alignment horizontal="left" vertical="top"/>
    </xf>
    <xf numFmtId="0" fontId="29" fillId="0" borderId="0" xfId="0" applyFont="1" applyAlignment="1">
      <alignment horizontal="left" vertical="top"/>
    </xf>
    <xf numFmtId="3" fontId="19" fillId="0" borderId="9" xfId="14" applyNumberFormat="1" applyFont="1" applyBorder="1" applyAlignment="1">
      <alignment horizontal="center" vertical="center" wrapText="1"/>
    </xf>
    <xf numFmtId="3" fontId="19" fillId="0" borderId="11" xfId="14" applyNumberFormat="1" applyFont="1" applyBorder="1" applyAlignment="1">
      <alignment horizontal="center" vertical="center" wrapText="1"/>
    </xf>
    <xf numFmtId="3" fontId="19" fillId="0" borderId="13" xfId="14" applyNumberFormat="1" applyFont="1" applyBorder="1" applyAlignment="1">
      <alignment horizontal="center" vertical="center" wrapText="1"/>
    </xf>
    <xf numFmtId="3" fontId="19" fillId="0" borderId="15" xfId="14" applyNumberFormat="1" applyFont="1" applyBorder="1" applyAlignment="1">
      <alignment horizontal="center" vertical="center" wrapText="1"/>
    </xf>
    <xf numFmtId="3" fontId="19" fillId="0" borderId="18" xfId="14" applyNumberFormat="1" applyFont="1" applyBorder="1" applyAlignment="1">
      <alignment horizontal="center" vertical="center" wrapText="1"/>
    </xf>
    <xf numFmtId="3" fontId="19" fillId="0" borderId="19" xfId="14" applyNumberFormat="1" applyFont="1" applyBorder="1" applyAlignment="1">
      <alignment horizontal="center" vertical="center" wrapText="1"/>
    </xf>
    <xf numFmtId="0" fontId="30" fillId="0" borderId="14" xfId="0" applyFont="1" applyBorder="1"/>
    <xf numFmtId="0" fontId="30" fillId="0" borderId="15" xfId="0" applyFont="1" applyBorder="1"/>
    <xf numFmtId="0" fontId="30" fillId="0" borderId="16" xfId="0" applyFont="1" applyBorder="1"/>
    <xf numFmtId="0" fontId="30" fillId="0" borderId="8" xfId="0" applyFont="1" applyBorder="1"/>
    <xf numFmtId="0" fontId="30" fillId="0" borderId="17" xfId="0" applyFont="1" applyBorder="1"/>
    <xf numFmtId="3" fontId="19" fillId="0" borderId="1" xfId="14" applyNumberFormat="1" applyFont="1" applyBorder="1" applyAlignment="1">
      <alignment horizontal="center" vertical="center" wrapText="1"/>
    </xf>
    <xf numFmtId="3" fontId="19" fillId="0" borderId="10" xfId="14" applyNumberFormat="1" applyFont="1" applyBorder="1" applyAlignment="1">
      <alignment horizontal="center" vertical="center" wrapText="1"/>
    </xf>
    <xf numFmtId="0" fontId="21" fillId="0" borderId="1" xfId="6" applyFont="1" applyBorder="1" applyAlignment="1">
      <alignment horizontal="center" vertical="center" wrapText="1"/>
    </xf>
    <xf numFmtId="3" fontId="19" fillId="0" borderId="7" xfId="14" applyNumberFormat="1" applyFont="1" applyBorder="1" applyAlignment="1">
      <alignment horizontal="center" vertical="center" wrapText="1"/>
    </xf>
    <xf numFmtId="3" fontId="19" fillId="0" borderId="12" xfId="14" applyNumberFormat="1" applyFont="1" applyBorder="1" applyAlignment="1">
      <alignment horizontal="center" vertical="center" wrapText="1"/>
    </xf>
    <xf numFmtId="3" fontId="19" fillId="0" borderId="2" xfId="14" applyNumberFormat="1" applyFont="1" applyBorder="1" applyAlignment="1">
      <alignment horizontal="center" vertical="center" wrapText="1"/>
    </xf>
    <xf numFmtId="3" fontId="20" fillId="0" borderId="1" xfId="14" applyNumberFormat="1" applyFont="1" applyBorder="1" applyAlignment="1">
      <alignment horizontal="center" vertical="center" wrapText="1"/>
    </xf>
    <xf numFmtId="49" fontId="19" fillId="0" borderId="1" xfId="14" applyNumberFormat="1" applyFont="1" applyBorder="1" applyAlignment="1">
      <alignment horizontal="center" vertical="center" wrapText="1"/>
    </xf>
  </cellXfs>
  <cellStyles count="35">
    <cellStyle name="Comma" xfId="16" builtinId="3"/>
    <cellStyle name="Comma [0]" xfId="27" builtinId="6"/>
    <cellStyle name="Comma 10 10 2 2 2" xfId="32"/>
    <cellStyle name="Comma 14" xfId="29"/>
    <cellStyle name="Comma 16 3 2 2 2 2 2 2" xfId="23"/>
    <cellStyle name="Comma 16 3 2 2 2 2 2 2 3 2" xfId="31"/>
    <cellStyle name="Comma 2" xfId="1"/>
    <cellStyle name="Comma 2 4 3 3" xfId="24"/>
    <cellStyle name="Comma 3" xfId="2"/>
    <cellStyle name="Comma 4" xfId="34"/>
    <cellStyle name="Comma 4 2 5" xfId="26"/>
    <cellStyle name="Comma 4 2_bieu 21" xfId="28"/>
    <cellStyle name="Comma 4 2_bieu 21 2" xfId="17"/>
    <cellStyle name="Comma 6" xfId="3"/>
    <cellStyle name="Comma 7" xfId="4"/>
    <cellStyle name="Hyperlink_Nhu%20cau%20KH%202010%20%28ODA%29(1) 2" xfId="5"/>
    <cellStyle name="Normal" xfId="0" builtinId="0"/>
    <cellStyle name="Normal 10 7" xfId="18"/>
    <cellStyle name="Normal 10 7 7" xfId="19"/>
    <cellStyle name="Normal 2" xfId="6"/>
    <cellStyle name="Normal 2 2" xfId="7"/>
    <cellStyle name="Normal 2 23" xfId="8"/>
    <cellStyle name="Normal 3" xfId="9"/>
    <cellStyle name="Normal 3 10" xfId="22"/>
    <cellStyle name="Normal 5" xfId="10"/>
    <cellStyle name="Normal 6" xfId="11"/>
    <cellStyle name="Normal 6 2" xfId="25"/>
    <cellStyle name="Normal 68" xfId="30"/>
    <cellStyle name="Normal 7" xfId="12"/>
    <cellStyle name="Normal 77" xfId="33"/>
    <cellStyle name="Normal 8" xfId="13"/>
    <cellStyle name="Normal_Bieu mau (CV )" xfId="14"/>
    <cellStyle name="Normal_Bieu mau (CV ) 2" xfId="20"/>
    <cellStyle name="Normal_Bieu mau (CV ) 3" xfId="21"/>
    <cellStyle name="Percent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0</xdr:colOff>
      <xdr:row>46</xdr:row>
      <xdr:rowOff>0</xdr:rowOff>
    </xdr:from>
    <xdr:ext cx="76200" cy="194028"/>
    <xdr:sp macro="" textlink="">
      <xdr:nvSpPr>
        <xdr:cNvPr id="2" name="Text Box 1">
          <a:extLst>
            <a:ext uri="{FF2B5EF4-FFF2-40B4-BE49-F238E27FC236}">
              <a16:creationId xmlns:a16="http://schemas.microsoft.com/office/drawing/2014/main" id="{BA161A30-714C-402C-8AF3-44468ECFB939}"/>
            </a:ext>
          </a:extLst>
        </xdr:cNvPr>
        <xdr:cNvSpPr txBox="1">
          <a:spLocks noChangeArrowheads="1"/>
        </xdr:cNvSpPr>
      </xdr:nvSpPr>
      <xdr:spPr>
        <a:xfrm>
          <a:off x="4238625" y="6677025"/>
          <a:ext cx="76200" cy="1940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76200" cy="194028"/>
    <xdr:sp macro="" textlink="">
      <xdr:nvSpPr>
        <xdr:cNvPr id="3" name="Text Box 1">
          <a:extLst>
            <a:ext uri="{FF2B5EF4-FFF2-40B4-BE49-F238E27FC236}">
              <a16:creationId xmlns:a16="http://schemas.microsoft.com/office/drawing/2014/main" id="{6CB8FF0B-F2F0-4B95-9806-E6E17E445D49}"/>
            </a:ext>
          </a:extLst>
        </xdr:cNvPr>
        <xdr:cNvSpPr txBox="1">
          <a:spLocks noChangeArrowheads="1"/>
        </xdr:cNvSpPr>
      </xdr:nvSpPr>
      <xdr:spPr>
        <a:xfrm>
          <a:off x="4238625" y="6677025"/>
          <a:ext cx="76200" cy="1940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76200" cy="194028"/>
    <xdr:sp macro="" textlink="">
      <xdr:nvSpPr>
        <xdr:cNvPr id="4" name="Text Box 1">
          <a:extLst>
            <a:ext uri="{FF2B5EF4-FFF2-40B4-BE49-F238E27FC236}">
              <a16:creationId xmlns:a16="http://schemas.microsoft.com/office/drawing/2014/main" id="{AD170F52-CF56-4BFF-AF23-85A32BB967FB}"/>
            </a:ext>
          </a:extLst>
        </xdr:cNvPr>
        <xdr:cNvSpPr txBox="1">
          <a:spLocks noChangeArrowheads="1"/>
        </xdr:cNvSpPr>
      </xdr:nvSpPr>
      <xdr:spPr>
        <a:xfrm>
          <a:off x="4238625" y="6677025"/>
          <a:ext cx="76200" cy="1940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303</xdr:row>
      <xdr:rowOff>0</xdr:rowOff>
    </xdr:from>
    <xdr:ext cx="76200" cy="142875"/>
    <xdr:sp macro="" textlink="">
      <xdr:nvSpPr>
        <xdr:cNvPr id="5" name="Text Box 1">
          <a:extLst>
            <a:ext uri="{FF2B5EF4-FFF2-40B4-BE49-F238E27FC236}">
              <a16:creationId xmlns:a16="http://schemas.microsoft.com/office/drawing/2014/main" id="{CE8DF694-1FF3-4551-AEAC-2F914D01B129}"/>
            </a:ext>
          </a:extLst>
        </xdr:cNvPr>
        <xdr:cNvSpPr txBox="1">
          <a:spLocks noChangeArrowheads="1"/>
        </xdr:cNvSpPr>
      </xdr:nvSpPr>
      <xdr:spPr>
        <a:xfrm>
          <a:off x="4238625" y="14192250"/>
          <a:ext cx="762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S13"/>
  <sheetViews>
    <sheetView workbookViewId="0">
      <pane xSplit="2" ySplit="7" topLeftCell="C8" activePane="bottomRight" state="frozen"/>
      <selection pane="topRight" activeCell="C1" sqref="C1"/>
      <selection pane="bottomLeft" activeCell="A8" sqref="A8"/>
      <selection pane="bottomRight" activeCell="C8" sqref="C8"/>
    </sheetView>
  </sheetViews>
  <sheetFormatPr defaultColWidth="12.28515625" defaultRowHeight="18.75"/>
  <cols>
    <col min="1" max="1" width="6" style="34" customWidth="1"/>
    <col min="2" max="2" width="41" style="32" customWidth="1"/>
    <col min="3" max="3" width="11.85546875" style="32" customWidth="1"/>
    <col min="4" max="5" width="18" style="32" customWidth="1"/>
    <col min="6" max="6" width="16.85546875" style="32" customWidth="1"/>
    <col min="7" max="8" width="14.140625" style="32" customWidth="1"/>
    <col min="9" max="9" width="11.28515625" style="32" customWidth="1"/>
    <col min="10" max="244" width="9.140625" style="32" customWidth="1"/>
    <col min="245" max="245" width="6" style="32" customWidth="1"/>
    <col min="246" max="246" width="41" style="32" customWidth="1"/>
    <col min="247" max="253" width="12.28515625" style="32" customWidth="1"/>
  </cols>
  <sheetData>
    <row r="1" spans="1:253" ht="20.25" customHeight="1">
      <c r="A1" s="443" t="s">
        <v>55</v>
      </c>
      <c r="B1" s="443"/>
      <c r="C1" s="443"/>
      <c r="D1" s="443"/>
      <c r="E1" s="443"/>
      <c r="F1" s="443"/>
      <c r="G1" s="443"/>
      <c r="H1" s="443"/>
      <c r="I1" s="443"/>
      <c r="J1" s="12"/>
      <c r="K1" s="12"/>
      <c r="L1" s="12"/>
      <c r="N1" s="31"/>
      <c r="O1" s="31"/>
      <c r="P1" s="31"/>
      <c r="Q1" s="31"/>
      <c r="R1" s="31"/>
      <c r="S1" s="31"/>
      <c r="T1" s="31"/>
      <c r="U1" s="31"/>
      <c r="V1" s="31"/>
      <c r="W1" s="31"/>
      <c r="X1" s="31"/>
      <c r="Y1" s="31"/>
      <c r="Z1" s="31"/>
      <c r="AA1" s="31"/>
      <c r="AB1" s="31"/>
      <c r="AC1" s="31"/>
      <c r="AD1" s="31"/>
      <c r="AE1" s="31"/>
      <c r="AF1" s="31"/>
      <c r="AG1" s="31"/>
      <c r="AH1" s="31"/>
      <c r="AI1" s="31"/>
      <c r="AJ1" s="31"/>
    </row>
    <row r="2" spans="1:253" ht="19.5">
      <c r="A2" s="444" t="s">
        <v>56</v>
      </c>
      <c r="B2" s="444"/>
      <c r="C2" s="444"/>
      <c r="D2" s="444"/>
      <c r="E2" s="444"/>
      <c r="F2" s="444"/>
      <c r="G2" s="444"/>
      <c r="H2" s="444"/>
      <c r="I2" s="444"/>
    </row>
    <row r="3" spans="1:253" ht="42.75" customHeight="1">
      <c r="A3" s="445" t="s">
        <v>79</v>
      </c>
      <c r="B3" s="445"/>
      <c r="C3" s="445"/>
      <c r="D3" s="445"/>
      <c r="E3" s="445"/>
      <c r="F3" s="445"/>
      <c r="G3" s="445"/>
      <c r="H3" s="445"/>
      <c r="I3" s="445"/>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row>
    <row r="4" spans="1:253">
      <c r="A4" s="446" t="s">
        <v>76</v>
      </c>
      <c r="B4" s="446"/>
      <c r="C4" s="446"/>
      <c r="D4" s="446"/>
      <c r="E4" s="446"/>
      <c r="F4" s="446"/>
      <c r="G4" s="446"/>
      <c r="H4" s="446"/>
      <c r="I4" s="446"/>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row>
    <row r="5" spans="1:253">
      <c r="A5" s="447" t="s">
        <v>1</v>
      </c>
      <c r="B5" s="447"/>
      <c r="C5" s="447"/>
      <c r="D5" s="447"/>
      <c r="E5" s="447"/>
      <c r="F5" s="447"/>
      <c r="G5" s="447"/>
      <c r="H5" s="447"/>
      <c r="I5" s="447"/>
    </row>
    <row r="6" spans="1:253" ht="46.5" customHeight="1">
      <c r="A6" s="450" t="s">
        <v>22</v>
      </c>
      <c r="B6" s="450" t="s">
        <v>16</v>
      </c>
      <c r="C6" s="450" t="s">
        <v>80</v>
      </c>
      <c r="D6" s="450"/>
      <c r="E6" s="450"/>
      <c r="F6" s="450" t="s">
        <v>47</v>
      </c>
      <c r="G6" s="450" t="s">
        <v>77</v>
      </c>
      <c r="H6" s="448" t="s">
        <v>78</v>
      </c>
      <c r="I6" s="450" t="s">
        <v>33</v>
      </c>
      <c r="J6" s="451"/>
      <c r="K6" s="451"/>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row>
    <row r="7" spans="1:253" ht="79.5" customHeight="1">
      <c r="A7" s="450"/>
      <c r="B7" s="450"/>
      <c r="C7" s="33" t="s">
        <v>21</v>
      </c>
      <c r="D7" s="33" t="s">
        <v>81</v>
      </c>
      <c r="E7" s="33" t="s">
        <v>82</v>
      </c>
      <c r="F7" s="450"/>
      <c r="G7" s="450"/>
      <c r="H7" s="449"/>
      <c r="I7" s="450"/>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row>
    <row r="8" spans="1:253">
      <c r="A8" s="36" t="s">
        <v>13</v>
      </c>
      <c r="B8" s="36" t="s">
        <v>0</v>
      </c>
      <c r="C8" s="36" t="s">
        <v>5</v>
      </c>
      <c r="D8" s="36" t="s">
        <v>6</v>
      </c>
      <c r="E8" s="36" t="s">
        <v>14</v>
      </c>
      <c r="F8" s="36" t="s">
        <v>48</v>
      </c>
      <c r="G8" s="36" t="s">
        <v>49</v>
      </c>
      <c r="H8" s="36" t="s">
        <v>50</v>
      </c>
      <c r="I8" s="36" t="s">
        <v>51</v>
      </c>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row>
    <row r="9" spans="1:253">
      <c r="A9" s="33"/>
      <c r="B9" s="23" t="s">
        <v>4</v>
      </c>
      <c r="C9" s="23"/>
      <c r="D9" s="23"/>
      <c r="E9" s="23"/>
      <c r="F9" s="23"/>
      <c r="G9" s="23"/>
      <c r="H9" s="23"/>
      <c r="I9" s="35"/>
    </row>
    <row r="10" spans="1:253" ht="37.5">
      <c r="A10" s="23">
        <v>1</v>
      </c>
      <c r="B10" s="28" t="s">
        <v>52</v>
      </c>
      <c r="C10" s="28"/>
      <c r="D10" s="28"/>
      <c r="E10" s="28"/>
      <c r="F10" s="23"/>
      <c r="G10" s="23"/>
      <c r="H10" s="23"/>
      <c r="I10" s="24"/>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row>
    <row r="11" spans="1:253" ht="24.75" customHeight="1">
      <c r="A11" s="37" t="s">
        <v>54</v>
      </c>
      <c r="B11" s="27" t="s">
        <v>71</v>
      </c>
      <c r="C11" s="26"/>
      <c r="D11" s="26"/>
      <c r="E11" s="26"/>
      <c r="F11" s="25"/>
      <c r="G11" s="25"/>
      <c r="H11" s="25"/>
      <c r="I11" s="24"/>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row>
    <row r="12" spans="1:253" ht="24.75" customHeight="1">
      <c r="A12" s="37" t="s">
        <v>54</v>
      </c>
      <c r="B12" s="26" t="s">
        <v>53</v>
      </c>
      <c r="C12" s="26"/>
      <c r="D12" s="26"/>
      <c r="E12" s="26"/>
      <c r="F12" s="25"/>
      <c r="G12" s="25"/>
      <c r="H12" s="25"/>
      <c r="I12" s="24"/>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row>
    <row r="13" spans="1:253" ht="75">
      <c r="A13" s="23">
        <v>2</v>
      </c>
      <c r="B13" s="25" t="s">
        <v>74</v>
      </c>
      <c r="C13" s="25"/>
      <c r="D13" s="25"/>
      <c r="E13" s="25"/>
      <c r="F13" s="25"/>
      <c r="G13" s="25"/>
      <c r="H13" s="25"/>
      <c r="I13" s="24"/>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sheetData>
  <mergeCells count="13">
    <mergeCell ref="H6:H7"/>
    <mergeCell ref="I6:I7"/>
    <mergeCell ref="J6:K6"/>
    <mergeCell ref="A6:A7"/>
    <mergeCell ref="B6:B7"/>
    <mergeCell ref="C6:E6"/>
    <mergeCell ref="F6:F7"/>
    <mergeCell ref="G6:G7"/>
    <mergeCell ref="A1:I1"/>
    <mergeCell ref="A2:I2"/>
    <mergeCell ref="A3:I3"/>
    <mergeCell ref="A4:I4"/>
    <mergeCell ref="A5:I5"/>
  </mergeCells>
  <pageMargins left="0.7" right="0.7" top="0.75" bottom="0.75" header="0.3" footer="0.3"/>
  <pageSetup paperSize="9" scale="8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A371"/>
  <sheetViews>
    <sheetView topLeftCell="A2" zoomScale="70" zoomScaleNormal="70" zoomScalePageLayoutView="55" workbookViewId="0">
      <selection activeCell="A5" sqref="A5:AA5"/>
    </sheetView>
  </sheetViews>
  <sheetFormatPr defaultColWidth="9.140625" defaultRowHeight="18.75"/>
  <cols>
    <col min="1" max="1" width="5.140625" style="14" customWidth="1"/>
    <col min="2" max="2" width="28.28515625" style="10" customWidth="1"/>
    <col min="3" max="6" width="10" style="11" customWidth="1"/>
    <col min="7" max="27" width="10" style="12" customWidth="1"/>
    <col min="28" max="16384" width="9.140625" style="4"/>
  </cols>
  <sheetData>
    <row r="1" spans="1:27" s="1" customFormat="1" ht="32.25" hidden="1" customHeight="1">
      <c r="A1" s="29"/>
      <c r="B1" s="3"/>
      <c r="C1" s="3"/>
      <c r="D1" s="3"/>
      <c r="E1" s="3"/>
      <c r="F1" s="3"/>
      <c r="G1" s="3"/>
      <c r="H1" s="2"/>
      <c r="I1" s="30"/>
      <c r="J1" s="30"/>
      <c r="K1" s="30"/>
      <c r="L1" s="30"/>
      <c r="M1" s="2"/>
      <c r="N1" s="2"/>
      <c r="O1" s="2"/>
      <c r="P1" s="2"/>
      <c r="Q1" s="2"/>
      <c r="R1" s="2"/>
      <c r="S1" s="2"/>
      <c r="T1" s="2"/>
      <c r="U1" s="3"/>
      <c r="V1" s="30"/>
      <c r="W1" s="30"/>
      <c r="X1" s="30"/>
      <c r="Y1" s="30"/>
      <c r="Z1" s="30"/>
      <c r="AA1" s="12" t="s">
        <v>27</v>
      </c>
    </row>
    <row r="2" spans="1:27" s="1" customFormat="1" ht="25.5">
      <c r="A2" s="538" t="s">
        <v>118</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row>
    <row r="3" spans="1:27" ht="50.45" customHeight="1">
      <c r="A3" s="490" t="s">
        <v>166</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row>
    <row r="4" spans="1:27" ht="26.25">
      <c r="A4" s="539" t="str">
        <f>'B.I THDP'!A3:K3</f>
        <v>(Kèm theo Công văn số 1080/UBND-KTTH ngày   08  tháng  8  năm 2024 của Ủy ban nhân dân tỉnh An Giang)</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9"/>
    </row>
    <row r="5" spans="1:27" s="5" customFormat="1">
      <c r="A5" s="540" t="s">
        <v>1</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row>
    <row r="6" spans="1:27" s="7" customFormat="1" ht="29.25" customHeight="1">
      <c r="A6" s="570" t="s">
        <v>28</v>
      </c>
      <c r="B6" s="563" t="s">
        <v>10</v>
      </c>
      <c r="C6" s="563" t="s">
        <v>29</v>
      </c>
      <c r="D6" s="563" t="s">
        <v>30</v>
      </c>
      <c r="E6" s="563" t="s">
        <v>31</v>
      </c>
      <c r="F6" s="563" t="s">
        <v>32</v>
      </c>
      <c r="G6" s="563"/>
      <c r="H6" s="563"/>
      <c r="I6" s="554" t="s">
        <v>96</v>
      </c>
      <c r="J6" s="558"/>
      <c r="K6" s="558"/>
      <c r="L6" s="559"/>
      <c r="M6" s="552" t="s">
        <v>100</v>
      </c>
      <c r="N6" s="564"/>
      <c r="O6" s="564"/>
      <c r="P6" s="564"/>
      <c r="Q6" s="564"/>
      <c r="R6" s="564"/>
      <c r="S6" s="564"/>
      <c r="T6" s="553"/>
      <c r="U6" s="554" t="s">
        <v>112</v>
      </c>
      <c r="V6" s="555"/>
      <c r="W6" s="554" t="s">
        <v>107</v>
      </c>
      <c r="X6" s="558"/>
      <c r="Y6" s="558"/>
      <c r="Z6" s="559"/>
      <c r="AA6" s="563" t="s">
        <v>33</v>
      </c>
    </row>
    <row r="7" spans="1:27" s="7" customFormat="1" ht="61.5" customHeight="1">
      <c r="A7" s="570"/>
      <c r="B7" s="563"/>
      <c r="C7" s="563"/>
      <c r="D7" s="563"/>
      <c r="E7" s="563"/>
      <c r="F7" s="563" t="s">
        <v>15</v>
      </c>
      <c r="G7" s="563" t="s">
        <v>35</v>
      </c>
      <c r="H7" s="563"/>
      <c r="I7" s="560"/>
      <c r="J7" s="561"/>
      <c r="K7" s="561"/>
      <c r="L7" s="562"/>
      <c r="M7" s="552" t="s">
        <v>21</v>
      </c>
      <c r="N7" s="553"/>
      <c r="O7" s="552" t="s">
        <v>101</v>
      </c>
      <c r="P7" s="553"/>
      <c r="Q7" s="552" t="s">
        <v>114</v>
      </c>
      <c r="R7" s="553"/>
      <c r="S7" s="552" t="s">
        <v>103</v>
      </c>
      <c r="T7" s="553"/>
      <c r="U7" s="556"/>
      <c r="V7" s="557"/>
      <c r="W7" s="560"/>
      <c r="X7" s="561"/>
      <c r="Y7" s="561"/>
      <c r="Z7" s="562"/>
      <c r="AA7" s="563"/>
    </row>
    <row r="8" spans="1:27" s="7" customFormat="1" ht="57.2" customHeight="1">
      <c r="A8" s="570"/>
      <c r="B8" s="563"/>
      <c r="C8" s="563"/>
      <c r="D8" s="563"/>
      <c r="E8" s="563"/>
      <c r="F8" s="563"/>
      <c r="G8" s="563" t="s">
        <v>3</v>
      </c>
      <c r="H8" s="566" t="s">
        <v>72</v>
      </c>
      <c r="I8" s="563" t="s">
        <v>3</v>
      </c>
      <c r="J8" s="563" t="s">
        <v>72</v>
      </c>
      <c r="K8" s="563"/>
      <c r="L8" s="563"/>
      <c r="M8" s="563" t="s">
        <v>3</v>
      </c>
      <c r="N8" s="566" t="s">
        <v>72</v>
      </c>
      <c r="O8" s="563" t="s">
        <v>3</v>
      </c>
      <c r="P8" s="566" t="s">
        <v>72</v>
      </c>
      <c r="Q8" s="563" t="s">
        <v>3</v>
      </c>
      <c r="R8" s="566" t="s">
        <v>72</v>
      </c>
      <c r="S8" s="563" t="s">
        <v>3</v>
      </c>
      <c r="T8" s="566" t="s">
        <v>72</v>
      </c>
      <c r="U8" s="563" t="s">
        <v>3</v>
      </c>
      <c r="V8" s="566" t="s">
        <v>72</v>
      </c>
      <c r="W8" s="563" t="s">
        <v>3</v>
      </c>
      <c r="X8" s="563" t="s">
        <v>72</v>
      </c>
      <c r="Y8" s="563"/>
      <c r="Z8" s="563"/>
      <c r="AA8" s="563"/>
    </row>
    <row r="9" spans="1:27" s="7" customFormat="1" ht="30.75" customHeight="1">
      <c r="A9" s="570"/>
      <c r="B9" s="563"/>
      <c r="C9" s="563"/>
      <c r="D9" s="563"/>
      <c r="E9" s="563"/>
      <c r="F9" s="563"/>
      <c r="G9" s="563"/>
      <c r="H9" s="567"/>
      <c r="I9" s="563"/>
      <c r="J9" s="566" t="s">
        <v>36</v>
      </c>
      <c r="K9" s="569" t="s">
        <v>8</v>
      </c>
      <c r="L9" s="569"/>
      <c r="M9" s="563"/>
      <c r="N9" s="567"/>
      <c r="O9" s="563"/>
      <c r="P9" s="567"/>
      <c r="Q9" s="563"/>
      <c r="R9" s="567"/>
      <c r="S9" s="563"/>
      <c r="T9" s="567"/>
      <c r="U9" s="563"/>
      <c r="V9" s="567"/>
      <c r="W9" s="563"/>
      <c r="X9" s="566" t="s">
        <v>36</v>
      </c>
      <c r="Y9" s="569" t="s">
        <v>8</v>
      </c>
      <c r="Z9" s="569"/>
      <c r="AA9" s="563"/>
    </row>
    <row r="10" spans="1:27" s="7" customFormat="1" ht="120.2" customHeight="1">
      <c r="A10" s="570"/>
      <c r="B10" s="563"/>
      <c r="C10" s="563"/>
      <c r="D10" s="563"/>
      <c r="E10" s="563"/>
      <c r="F10" s="563"/>
      <c r="G10" s="565"/>
      <c r="H10" s="568"/>
      <c r="I10" s="565"/>
      <c r="J10" s="568"/>
      <c r="K10" s="75" t="s">
        <v>66</v>
      </c>
      <c r="L10" s="75" t="s">
        <v>88</v>
      </c>
      <c r="M10" s="565"/>
      <c r="N10" s="568"/>
      <c r="O10" s="565"/>
      <c r="P10" s="568"/>
      <c r="Q10" s="565"/>
      <c r="R10" s="568"/>
      <c r="S10" s="565"/>
      <c r="T10" s="568"/>
      <c r="U10" s="565"/>
      <c r="V10" s="568"/>
      <c r="W10" s="565"/>
      <c r="X10" s="568"/>
      <c r="Y10" s="75" t="s">
        <v>66</v>
      </c>
      <c r="Z10" s="75" t="s">
        <v>88</v>
      </c>
      <c r="AA10" s="563"/>
    </row>
    <row r="11" spans="1:27" s="9" customFormat="1" ht="30.75" customHeight="1">
      <c r="A11" s="17">
        <v>1</v>
      </c>
      <c r="B11" s="8">
        <v>2</v>
      </c>
      <c r="C11" s="17">
        <v>3</v>
      </c>
      <c r="D11" s="8">
        <v>4</v>
      </c>
      <c r="E11" s="17">
        <v>5</v>
      </c>
      <c r="F11" s="8">
        <v>6</v>
      </c>
      <c r="G11" s="17">
        <v>7</v>
      </c>
      <c r="H11" s="8">
        <v>8</v>
      </c>
      <c r="I11" s="17">
        <v>9</v>
      </c>
      <c r="J11" s="8">
        <v>10</v>
      </c>
      <c r="K11" s="17">
        <v>11</v>
      </c>
      <c r="L11" s="8">
        <v>12</v>
      </c>
      <c r="M11" s="17">
        <v>13</v>
      </c>
      <c r="N11" s="8">
        <v>14</v>
      </c>
      <c r="O11" s="17">
        <v>15</v>
      </c>
      <c r="P11" s="8">
        <v>16</v>
      </c>
      <c r="Q11" s="17">
        <v>15</v>
      </c>
      <c r="R11" s="8">
        <v>16</v>
      </c>
      <c r="S11" s="17">
        <v>17</v>
      </c>
      <c r="T11" s="8">
        <v>18</v>
      </c>
      <c r="U11" s="17">
        <v>19</v>
      </c>
      <c r="V11" s="8">
        <v>20</v>
      </c>
      <c r="W11" s="17">
        <v>21</v>
      </c>
      <c r="X11" s="8">
        <v>22</v>
      </c>
      <c r="Y11" s="17">
        <v>23</v>
      </c>
      <c r="Z11" s="8">
        <v>24</v>
      </c>
      <c r="AA11" s="17">
        <v>25</v>
      </c>
    </row>
    <row r="12" spans="1:27" s="9" customFormat="1">
      <c r="A12" s="39"/>
      <c r="B12" s="40" t="s">
        <v>4</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row>
    <row r="13" spans="1:27" s="9" customFormat="1" ht="40.5">
      <c r="A13" s="42" t="s">
        <v>37</v>
      </c>
      <c r="B13" s="43" t="s">
        <v>73</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row>
    <row r="14" spans="1:27" s="9" customFormat="1">
      <c r="A14" s="45" t="s">
        <v>38</v>
      </c>
      <c r="B14" s="43" t="s">
        <v>57</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row>
    <row r="15" spans="1:27" s="9" customFormat="1">
      <c r="A15" s="46">
        <v>1</v>
      </c>
      <c r="B15" s="47" t="s">
        <v>40</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row>
    <row r="16" spans="1:27" s="9" customFormat="1">
      <c r="A16" s="48" t="s">
        <v>2</v>
      </c>
      <c r="B16" s="49" t="s">
        <v>42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row>
    <row r="17" spans="1:27" s="9" customFormat="1">
      <c r="A17" s="45" t="s">
        <v>43</v>
      </c>
      <c r="B17" s="43" t="s">
        <v>58</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row>
    <row r="18" spans="1:27" s="2" customFormat="1" ht="75">
      <c r="A18" s="50" t="s">
        <v>39</v>
      </c>
      <c r="B18" s="51" t="s">
        <v>108</v>
      </c>
      <c r="C18" s="52"/>
      <c r="D18" s="52"/>
      <c r="E18" s="52"/>
      <c r="F18" s="52"/>
      <c r="G18" s="53"/>
      <c r="H18" s="53"/>
      <c r="I18" s="53"/>
      <c r="J18" s="53"/>
      <c r="K18" s="53"/>
      <c r="L18" s="53"/>
      <c r="M18" s="53"/>
      <c r="N18" s="53"/>
      <c r="O18" s="53"/>
      <c r="P18" s="53"/>
      <c r="Q18" s="53"/>
      <c r="R18" s="53"/>
      <c r="S18" s="53"/>
      <c r="T18" s="53"/>
      <c r="U18" s="53"/>
      <c r="V18" s="53"/>
      <c r="W18" s="53"/>
      <c r="X18" s="53"/>
      <c r="Y18" s="53"/>
      <c r="Z18" s="53"/>
      <c r="AA18" s="53"/>
    </row>
    <row r="19" spans="1:27" s="3" customFormat="1" ht="19.5">
      <c r="A19" s="54" t="s">
        <v>45</v>
      </c>
      <c r="B19" s="55" t="s">
        <v>17</v>
      </c>
      <c r="C19" s="56"/>
      <c r="D19" s="56"/>
      <c r="E19" s="56"/>
      <c r="F19" s="56"/>
      <c r="G19" s="57"/>
      <c r="H19" s="57"/>
      <c r="I19" s="57"/>
      <c r="J19" s="57"/>
      <c r="K19" s="57"/>
      <c r="L19" s="57"/>
      <c r="M19" s="57"/>
      <c r="N19" s="57"/>
      <c r="O19" s="57"/>
      <c r="P19" s="57"/>
      <c r="Q19" s="57"/>
      <c r="R19" s="57"/>
      <c r="S19" s="57"/>
      <c r="T19" s="57"/>
      <c r="U19" s="57"/>
      <c r="V19" s="57"/>
      <c r="W19" s="57"/>
      <c r="X19" s="57"/>
      <c r="Y19" s="57"/>
      <c r="Z19" s="57"/>
      <c r="AA19" s="57"/>
    </row>
    <row r="20" spans="1:27">
      <c r="A20" s="58" t="s">
        <v>13</v>
      </c>
      <c r="B20" s="47" t="s">
        <v>40</v>
      </c>
      <c r="C20" s="59"/>
      <c r="D20" s="59"/>
      <c r="E20" s="59"/>
      <c r="F20" s="59"/>
      <c r="G20" s="60"/>
      <c r="H20" s="60"/>
      <c r="I20" s="60"/>
      <c r="J20" s="60"/>
      <c r="K20" s="60"/>
      <c r="L20" s="60"/>
      <c r="M20" s="60"/>
      <c r="N20" s="60"/>
      <c r="O20" s="60"/>
      <c r="P20" s="60"/>
      <c r="Q20" s="60"/>
      <c r="R20" s="60"/>
      <c r="S20" s="60"/>
      <c r="T20" s="60"/>
      <c r="U20" s="60"/>
      <c r="V20" s="60"/>
      <c r="W20" s="60"/>
      <c r="X20" s="60"/>
      <c r="Y20" s="60"/>
      <c r="Z20" s="60"/>
      <c r="AA20" s="60"/>
    </row>
    <row r="21" spans="1:27">
      <c r="A21" s="58" t="s">
        <v>0</v>
      </c>
      <c r="B21" s="47" t="s">
        <v>40</v>
      </c>
      <c r="C21" s="59"/>
      <c r="D21" s="59"/>
      <c r="E21" s="59"/>
      <c r="F21" s="59"/>
      <c r="G21" s="60"/>
      <c r="H21" s="60"/>
      <c r="I21" s="60"/>
      <c r="J21" s="60"/>
      <c r="K21" s="60"/>
      <c r="L21" s="60"/>
      <c r="M21" s="60"/>
      <c r="N21" s="60"/>
      <c r="O21" s="60"/>
      <c r="P21" s="60"/>
      <c r="Q21" s="60"/>
      <c r="R21" s="60"/>
      <c r="S21" s="60"/>
      <c r="T21" s="60"/>
      <c r="U21" s="60"/>
      <c r="V21" s="60"/>
      <c r="W21" s="60"/>
      <c r="X21" s="60"/>
      <c r="Y21" s="60"/>
      <c r="Z21" s="60"/>
      <c r="AA21" s="60"/>
    </row>
    <row r="22" spans="1:27">
      <c r="A22" s="58" t="s">
        <v>2</v>
      </c>
      <c r="B22" s="49" t="s">
        <v>42</v>
      </c>
      <c r="C22" s="59"/>
      <c r="D22" s="59"/>
      <c r="E22" s="59"/>
      <c r="F22" s="59"/>
      <c r="G22" s="60"/>
      <c r="H22" s="60"/>
      <c r="I22" s="60"/>
      <c r="J22" s="60"/>
      <c r="K22" s="60"/>
      <c r="L22" s="60"/>
      <c r="M22" s="60"/>
      <c r="N22" s="60"/>
      <c r="O22" s="60"/>
      <c r="P22" s="60"/>
      <c r="Q22" s="60"/>
      <c r="R22" s="60"/>
      <c r="S22" s="60"/>
      <c r="T22" s="60"/>
      <c r="U22" s="60"/>
      <c r="V22" s="60"/>
      <c r="W22" s="60"/>
      <c r="X22" s="60"/>
      <c r="Y22" s="60"/>
      <c r="Z22" s="60"/>
      <c r="AA22" s="60"/>
    </row>
    <row r="23" spans="1:27" s="3" customFormat="1" ht="19.5">
      <c r="A23" s="54" t="s">
        <v>46</v>
      </c>
      <c r="B23" s="55" t="s">
        <v>18</v>
      </c>
      <c r="C23" s="56"/>
      <c r="D23" s="56"/>
      <c r="E23" s="56"/>
      <c r="F23" s="56"/>
      <c r="G23" s="57"/>
      <c r="H23" s="57"/>
      <c r="I23" s="57"/>
      <c r="J23" s="57"/>
      <c r="K23" s="57"/>
      <c r="L23" s="57"/>
      <c r="M23" s="57"/>
      <c r="N23" s="57"/>
      <c r="O23" s="57"/>
      <c r="P23" s="57"/>
      <c r="Q23" s="57"/>
      <c r="R23" s="57"/>
      <c r="S23" s="57"/>
      <c r="T23" s="57"/>
      <c r="U23" s="57"/>
      <c r="V23" s="57"/>
      <c r="W23" s="57"/>
      <c r="X23" s="57"/>
      <c r="Y23" s="57"/>
      <c r="Z23" s="57"/>
      <c r="AA23" s="57"/>
    </row>
    <row r="24" spans="1:27">
      <c r="A24" s="58" t="s">
        <v>13</v>
      </c>
      <c r="B24" s="47" t="s">
        <v>40</v>
      </c>
      <c r="C24" s="59"/>
      <c r="D24" s="59"/>
      <c r="E24" s="59"/>
      <c r="F24" s="59"/>
      <c r="G24" s="60"/>
      <c r="H24" s="60"/>
      <c r="I24" s="60"/>
      <c r="J24" s="60"/>
      <c r="K24" s="60"/>
      <c r="L24" s="60"/>
      <c r="M24" s="60"/>
      <c r="N24" s="60"/>
      <c r="O24" s="60"/>
      <c r="P24" s="60"/>
      <c r="Q24" s="60"/>
      <c r="R24" s="60"/>
      <c r="S24" s="60"/>
      <c r="T24" s="60"/>
      <c r="U24" s="60"/>
      <c r="V24" s="60"/>
      <c r="W24" s="60"/>
      <c r="X24" s="60"/>
      <c r="Y24" s="60"/>
      <c r="Z24" s="60"/>
      <c r="AA24" s="60"/>
    </row>
    <row r="25" spans="1:27">
      <c r="A25" s="58" t="s">
        <v>2</v>
      </c>
      <c r="B25" s="49" t="s">
        <v>42</v>
      </c>
      <c r="C25" s="59"/>
      <c r="D25" s="59"/>
      <c r="E25" s="59"/>
      <c r="F25" s="59"/>
      <c r="G25" s="60"/>
      <c r="H25" s="60"/>
      <c r="I25" s="60"/>
      <c r="J25" s="60"/>
      <c r="K25" s="60"/>
      <c r="L25" s="60"/>
      <c r="M25" s="60"/>
      <c r="N25" s="60"/>
      <c r="O25" s="60"/>
      <c r="P25" s="60"/>
      <c r="Q25" s="60"/>
      <c r="R25" s="60"/>
      <c r="S25" s="60"/>
      <c r="T25" s="60"/>
      <c r="U25" s="60"/>
      <c r="V25" s="60"/>
      <c r="W25" s="60"/>
      <c r="X25" s="60"/>
      <c r="Y25" s="60"/>
      <c r="Z25" s="60"/>
      <c r="AA25" s="60"/>
    </row>
    <row r="26" spans="1:27" s="3" customFormat="1" ht="19.5">
      <c r="A26" s="54" t="s">
        <v>19</v>
      </c>
      <c r="B26" s="55" t="s">
        <v>20</v>
      </c>
      <c r="C26" s="56"/>
      <c r="D26" s="56"/>
      <c r="E26" s="56"/>
      <c r="F26" s="56"/>
      <c r="G26" s="57"/>
      <c r="H26" s="57"/>
      <c r="I26" s="57"/>
      <c r="J26" s="57"/>
      <c r="K26" s="57"/>
      <c r="L26" s="57"/>
      <c r="M26" s="57"/>
      <c r="N26" s="57"/>
      <c r="O26" s="57"/>
      <c r="P26" s="57"/>
      <c r="Q26" s="57"/>
      <c r="R26" s="57"/>
      <c r="S26" s="57"/>
      <c r="T26" s="57"/>
      <c r="U26" s="57"/>
      <c r="V26" s="57"/>
      <c r="W26" s="57"/>
      <c r="X26" s="57"/>
      <c r="Y26" s="57"/>
      <c r="Z26" s="57"/>
      <c r="AA26" s="57"/>
    </row>
    <row r="27" spans="1:27">
      <c r="A27" s="58" t="s">
        <v>13</v>
      </c>
      <c r="B27" s="47" t="s">
        <v>40</v>
      </c>
      <c r="C27" s="59"/>
      <c r="D27" s="59"/>
      <c r="E27" s="59"/>
      <c r="F27" s="59"/>
      <c r="G27" s="60"/>
      <c r="H27" s="60"/>
      <c r="I27" s="60"/>
      <c r="J27" s="60"/>
      <c r="K27" s="60"/>
      <c r="L27" s="60"/>
      <c r="M27" s="60"/>
      <c r="N27" s="60"/>
      <c r="O27" s="60"/>
      <c r="P27" s="60"/>
      <c r="Q27" s="60"/>
      <c r="R27" s="60"/>
      <c r="S27" s="60"/>
      <c r="T27" s="60"/>
      <c r="U27" s="60"/>
      <c r="V27" s="60"/>
      <c r="W27" s="60"/>
      <c r="X27" s="60"/>
      <c r="Y27" s="60"/>
      <c r="Z27" s="60"/>
      <c r="AA27" s="60"/>
    </row>
    <row r="28" spans="1:27">
      <c r="A28" s="58" t="s">
        <v>2</v>
      </c>
      <c r="B28" s="49" t="s">
        <v>42</v>
      </c>
      <c r="C28" s="59"/>
      <c r="D28" s="59"/>
      <c r="E28" s="59"/>
      <c r="F28" s="59"/>
      <c r="G28" s="60"/>
      <c r="H28" s="60"/>
      <c r="I28" s="60"/>
      <c r="J28" s="60"/>
      <c r="K28" s="60"/>
      <c r="L28" s="60"/>
      <c r="M28" s="60"/>
      <c r="N28" s="60"/>
      <c r="O28" s="60"/>
      <c r="P28" s="60"/>
      <c r="Q28" s="60"/>
      <c r="R28" s="60"/>
      <c r="S28" s="60"/>
      <c r="T28" s="60"/>
      <c r="U28" s="60"/>
      <c r="V28" s="60"/>
      <c r="W28" s="60"/>
      <c r="X28" s="60"/>
      <c r="Y28" s="60"/>
      <c r="Z28" s="60"/>
      <c r="AA28" s="60"/>
    </row>
    <row r="29" spans="1:27" ht="37.5">
      <c r="A29" s="50" t="s">
        <v>41</v>
      </c>
      <c r="B29" s="51" t="s">
        <v>109</v>
      </c>
      <c r="C29" s="59"/>
      <c r="D29" s="59"/>
      <c r="E29" s="59"/>
      <c r="F29" s="59"/>
      <c r="G29" s="60"/>
      <c r="H29" s="60"/>
      <c r="I29" s="60"/>
      <c r="J29" s="60"/>
      <c r="K29" s="60"/>
      <c r="L29" s="60"/>
      <c r="M29" s="60"/>
      <c r="N29" s="60"/>
      <c r="O29" s="60"/>
      <c r="P29" s="60"/>
      <c r="Q29" s="60"/>
      <c r="R29" s="60"/>
      <c r="S29" s="60"/>
      <c r="T29" s="60"/>
      <c r="U29" s="60"/>
      <c r="V29" s="60"/>
      <c r="W29" s="60"/>
      <c r="X29" s="60"/>
      <c r="Y29" s="60"/>
      <c r="Z29" s="60"/>
      <c r="AA29" s="60"/>
    </row>
    <row r="30" spans="1:27" s="3" customFormat="1" ht="19.5">
      <c r="A30" s="54" t="s">
        <v>45</v>
      </c>
      <c r="B30" s="55" t="s">
        <v>17</v>
      </c>
      <c r="C30" s="56"/>
      <c r="D30" s="56"/>
      <c r="E30" s="56"/>
      <c r="F30" s="56"/>
      <c r="G30" s="57"/>
      <c r="H30" s="57"/>
      <c r="I30" s="57"/>
      <c r="J30" s="57"/>
      <c r="K30" s="57"/>
      <c r="L30" s="57"/>
      <c r="M30" s="57"/>
      <c r="N30" s="57"/>
      <c r="O30" s="57"/>
      <c r="P30" s="57"/>
      <c r="Q30" s="57"/>
      <c r="R30" s="57"/>
      <c r="S30" s="57"/>
      <c r="T30" s="57"/>
      <c r="U30" s="57"/>
      <c r="V30" s="57"/>
      <c r="W30" s="57"/>
      <c r="X30" s="57"/>
      <c r="Y30" s="57"/>
      <c r="Z30" s="57"/>
      <c r="AA30" s="57"/>
    </row>
    <row r="31" spans="1:27">
      <c r="A31" s="58" t="s">
        <v>13</v>
      </c>
      <c r="B31" s="47" t="s">
        <v>40</v>
      </c>
      <c r="C31" s="59"/>
      <c r="D31" s="59"/>
      <c r="E31" s="59"/>
      <c r="F31" s="59"/>
      <c r="G31" s="60"/>
      <c r="H31" s="60"/>
      <c r="I31" s="60"/>
      <c r="J31" s="60"/>
      <c r="K31" s="60"/>
      <c r="L31" s="60"/>
      <c r="M31" s="60"/>
      <c r="N31" s="60"/>
      <c r="O31" s="60"/>
      <c r="P31" s="60"/>
      <c r="Q31" s="60"/>
      <c r="R31" s="60"/>
      <c r="S31" s="60"/>
      <c r="T31" s="60"/>
      <c r="U31" s="60"/>
      <c r="V31" s="60"/>
      <c r="W31" s="60"/>
      <c r="X31" s="60"/>
      <c r="Y31" s="60"/>
      <c r="Z31" s="60"/>
      <c r="AA31" s="60"/>
    </row>
    <row r="32" spans="1:27">
      <c r="A32" s="58" t="s">
        <v>2</v>
      </c>
      <c r="B32" s="49" t="s">
        <v>42</v>
      </c>
      <c r="C32" s="59"/>
      <c r="D32" s="59"/>
      <c r="E32" s="59"/>
      <c r="F32" s="59"/>
      <c r="G32" s="60"/>
      <c r="H32" s="60"/>
      <c r="I32" s="60"/>
      <c r="J32" s="60"/>
      <c r="K32" s="60"/>
      <c r="L32" s="60"/>
      <c r="M32" s="60"/>
      <c r="N32" s="60"/>
      <c r="O32" s="60"/>
      <c r="P32" s="60"/>
      <c r="Q32" s="60"/>
      <c r="R32" s="60"/>
      <c r="S32" s="60"/>
      <c r="T32" s="60"/>
      <c r="U32" s="60"/>
      <c r="V32" s="60"/>
      <c r="W32" s="60"/>
      <c r="X32" s="60"/>
      <c r="Y32" s="60"/>
      <c r="Z32" s="60"/>
      <c r="AA32" s="60"/>
    </row>
    <row r="33" spans="1:27" s="3" customFormat="1" ht="19.5">
      <c r="A33" s="54" t="s">
        <v>46</v>
      </c>
      <c r="B33" s="55" t="s">
        <v>18</v>
      </c>
      <c r="C33" s="56"/>
      <c r="D33" s="56"/>
      <c r="E33" s="56"/>
      <c r="F33" s="56"/>
      <c r="G33" s="57"/>
      <c r="H33" s="57"/>
      <c r="I33" s="57"/>
      <c r="J33" s="57"/>
      <c r="K33" s="57"/>
      <c r="L33" s="57"/>
      <c r="M33" s="57"/>
      <c r="N33" s="57"/>
      <c r="O33" s="57"/>
      <c r="P33" s="57"/>
      <c r="Q33" s="57"/>
      <c r="R33" s="57"/>
      <c r="S33" s="57"/>
      <c r="T33" s="57"/>
      <c r="U33" s="57"/>
      <c r="V33" s="57"/>
      <c r="W33" s="57"/>
      <c r="X33" s="57"/>
      <c r="Y33" s="57"/>
      <c r="Z33" s="57"/>
      <c r="AA33" s="57"/>
    </row>
    <row r="34" spans="1:27">
      <c r="A34" s="58" t="s">
        <v>13</v>
      </c>
      <c r="B34" s="47" t="s">
        <v>40</v>
      </c>
      <c r="C34" s="59"/>
      <c r="D34" s="59"/>
      <c r="E34" s="59"/>
      <c r="F34" s="59"/>
      <c r="G34" s="60"/>
      <c r="H34" s="60"/>
      <c r="I34" s="60"/>
      <c r="J34" s="60"/>
      <c r="K34" s="60"/>
      <c r="L34" s="60"/>
      <c r="M34" s="60"/>
      <c r="N34" s="60"/>
      <c r="O34" s="60"/>
      <c r="P34" s="60"/>
      <c r="Q34" s="60"/>
      <c r="R34" s="60"/>
      <c r="S34" s="60"/>
      <c r="T34" s="60"/>
      <c r="U34" s="60"/>
      <c r="V34" s="60"/>
      <c r="W34" s="60"/>
      <c r="X34" s="60"/>
      <c r="Y34" s="60"/>
      <c r="Z34" s="60"/>
      <c r="AA34" s="60"/>
    </row>
    <row r="35" spans="1:27">
      <c r="A35" s="58" t="s">
        <v>2</v>
      </c>
      <c r="B35" s="49" t="s">
        <v>42</v>
      </c>
      <c r="C35" s="59"/>
      <c r="D35" s="59"/>
      <c r="E35" s="59"/>
      <c r="F35" s="59"/>
      <c r="G35" s="60"/>
      <c r="H35" s="60"/>
      <c r="I35" s="60"/>
      <c r="J35" s="60"/>
      <c r="K35" s="60"/>
      <c r="L35" s="60"/>
      <c r="M35" s="60"/>
      <c r="N35" s="60"/>
      <c r="O35" s="60"/>
      <c r="P35" s="60"/>
      <c r="Q35" s="60"/>
      <c r="R35" s="60"/>
      <c r="S35" s="60"/>
      <c r="T35" s="60"/>
      <c r="U35" s="60"/>
      <c r="V35" s="60"/>
      <c r="W35" s="60"/>
      <c r="X35" s="60"/>
      <c r="Y35" s="60"/>
      <c r="Z35" s="60"/>
      <c r="AA35" s="60"/>
    </row>
    <row r="36" spans="1:27" s="3" customFormat="1" ht="19.5">
      <c r="A36" s="54" t="s">
        <v>19</v>
      </c>
      <c r="B36" s="55" t="s">
        <v>20</v>
      </c>
      <c r="C36" s="56"/>
      <c r="D36" s="56"/>
      <c r="E36" s="56"/>
      <c r="F36" s="56"/>
      <c r="G36" s="57"/>
      <c r="H36" s="57"/>
      <c r="I36" s="57"/>
      <c r="J36" s="57"/>
      <c r="K36" s="57"/>
      <c r="L36" s="57"/>
      <c r="M36" s="57"/>
      <c r="N36" s="57"/>
      <c r="O36" s="57"/>
      <c r="P36" s="57"/>
      <c r="Q36" s="57"/>
      <c r="R36" s="57"/>
      <c r="S36" s="57"/>
      <c r="T36" s="57"/>
      <c r="U36" s="57"/>
      <c r="V36" s="57"/>
      <c r="W36" s="57"/>
      <c r="X36" s="57"/>
      <c r="Y36" s="57"/>
      <c r="Z36" s="57"/>
      <c r="AA36" s="57"/>
    </row>
    <row r="37" spans="1:27">
      <c r="A37" s="58" t="s">
        <v>13</v>
      </c>
      <c r="B37" s="47" t="s">
        <v>40</v>
      </c>
      <c r="C37" s="59"/>
      <c r="D37" s="59"/>
      <c r="E37" s="59"/>
      <c r="F37" s="59"/>
      <c r="G37" s="60"/>
      <c r="H37" s="60"/>
      <c r="I37" s="60"/>
      <c r="J37" s="60"/>
      <c r="K37" s="60"/>
      <c r="L37" s="60"/>
      <c r="M37" s="60"/>
      <c r="N37" s="60"/>
      <c r="O37" s="60"/>
      <c r="P37" s="60"/>
      <c r="Q37" s="60"/>
      <c r="R37" s="60"/>
      <c r="S37" s="60"/>
      <c r="T37" s="60"/>
      <c r="U37" s="60"/>
      <c r="V37" s="60"/>
      <c r="W37" s="60"/>
      <c r="X37" s="60"/>
      <c r="Y37" s="60"/>
      <c r="Z37" s="60"/>
      <c r="AA37" s="60"/>
    </row>
    <row r="38" spans="1:27">
      <c r="A38" s="58" t="s">
        <v>2</v>
      </c>
      <c r="B38" s="49" t="s">
        <v>42</v>
      </c>
      <c r="C38" s="59"/>
      <c r="D38" s="59"/>
      <c r="E38" s="59"/>
      <c r="F38" s="59"/>
      <c r="G38" s="60"/>
      <c r="H38" s="60"/>
      <c r="I38" s="60"/>
      <c r="J38" s="60"/>
      <c r="K38" s="60"/>
      <c r="L38" s="60"/>
      <c r="M38" s="60"/>
      <c r="N38" s="60"/>
      <c r="O38" s="60"/>
      <c r="P38" s="60"/>
      <c r="Q38" s="60"/>
      <c r="R38" s="60"/>
      <c r="S38" s="60"/>
      <c r="T38" s="60"/>
      <c r="U38" s="60"/>
      <c r="V38" s="60"/>
      <c r="W38" s="60"/>
      <c r="X38" s="60"/>
      <c r="Y38" s="60"/>
      <c r="Z38" s="60"/>
      <c r="AA38" s="60"/>
    </row>
    <row r="39" spans="1:27" ht="39.6" customHeight="1">
      <c r="A39" s="50" t="s">
        <v>23</v>
      </c>
      <c r="B39" s="51" t="s">
        <v>110</v>
      </c>
      <c r="C39" s="59"/>
      <c r="D39" s="59"/>
      <c r="E39" s="59"/>
      <c r="F39" s="59"/>
      <c r="G39" s="60"/>
      <c r="H39" s="60"/>
      <c r="I39" s="60"/>
      <c r="J39" s="60"/>
      <c r="K39" s="60"/>
      <c r="L39" s="60"/>
      <c r="M39" s="60"/>
      <c r="N39" s="60"/>
      <c r="O39" s="60"/>
      <c r="P39" s="60"/>
      <c r="Q39" s="60"/>
      <c r="R39" s="60"/>
      <c r="S39" s="60"/>
      <c r="T39" s="60"/>
      <c r="U39" s="60"/>
      <c r="V39" s="60"/>
      <c r="W39" s="60"/>
      <c r="X39" s="60"/>
      <c r="Y39" s="60"/>
      <c r="Z39" s="60"/>
      <c r="AA39" s="60"/>
    </row>
    <row r="40" spans="1:27" s="3" customFormat="1" ht="19.5">
      <c r="A40" s="54" t="s">
        <v>45</v>
      </c>
      <c r="B40" s="55" t="s">
        <v>17</v>
      </c>
      <c r="C40" s="56"/>
      <c r="D40" s="56"/>
      <c r="E40" s="56"/>
      <c r="F40" s="56"/>
      <c r="G40" s="57"/>
      <c r="H40" s="57"/>
      <c r="I40" s="57"/>
      <c r="J40" s="57"/>
      <c r="K40" s="57"/>
      <c r="L40" s="57"/>
      <c r="M40" s="57"/>
      <c r="N40" s="57"/>
      <c r="O40" s="57"/>
      <c r="P40" s="57"/>
      <c r="Q40" s="57"/>
      <c r="R40" s="57"/>
      <c r="S40" s="57"/>
      <c r="T40" s="57"/>
      <c r="U40" s="57"/>
      <c r="V40" s="57"/>
      <c r="W40" s="57"/>
      <c r="X40" s="57"/>
      <c r="Y40" s="57"/>
      <c r="Z40" s="57"/>
      <c r="AA40" s="57"/>
    </row>
    <row r="41" spans="1:27">
      <c r="A41" s="58" t="s">
        <v>13</v>
      </c>
      <c r="B41" s="47" t="s">
        <v>40</v>
      </c>
      <c r="C41" s="59"/>
      <c r="D41" s="59"/>
      <c r="E41" s="59"/>
      <c r="F41" s="59"/>
      <c r="G41" s="60"/>
      <c r="H41" s="60"/>
      <c r="I41" s="60"/>
      <c r="J41" s="60"/>
      <c r="K41" s="60"/>
      <c r="L41" s="60"/>
      <c r="M41" s="60"/>
      <c r="N41" s="60"/>
      <c r="O41" s="60"/>
      <c r="P41" s="60"/>
      <c r="Q41" s="60"/>
      <c r="R41" s="60"/>
      <c r="S41" s="60"/>
      <c r="T41" s="60"/>
      <c r="U41" s="60"/>
      <c r="V41" s="60"/>
      <c r="W41" s="60"/>
      <c r="X41" s="60"/>
      <c r="Y41" s="60"/>
      <c r="Z41" s="60"/>
      <c r="AA41" s="60"/>
    </row>
    <row r="42" spans="1:27">
      <c r="A42" s="58" t="s">
        <v>2</v>
      </c>
      <c r="B42" s="49" t="s">
        <v>42</v>
      </c>
      <c r="C42" s="59"/>
      <c r="D42" s="59"/>
      <c r="E42" s="59"/>
      <c r="F42" s="59"/>
      <c r="G42" s="60"/>
      <c r="H42" s="60"/>
      <c r="I42" s="60"/>
      <c r="J42" s="60"/>
      <c r="K42" s="60"/>
      <c r="L42" s="60"/>
      <c r="M42" s="60"/>
      <c r="N42" s="60"/>
      <c r="O42" s="60"/>
      <c r="P42" s="60"/>
      <c r="Q42" s="60"/>
      <c r="R42" s="60"/>
      <c r="S42" s="60"/>
      <c r="T42" s="60"/>
      <c r="U42" s="60"/>
      <c r="V42" s="60"/>
      <c r="W42" s="60"/>
      <c r="X42" s="60"/>
      <c r="Y42" s="60"/>
      <c r="Z42" s="60"/>
      <c r="AA42" s="60"/>
    </row>
    <row r="43" spans="1:27" s="3" customFormat="1" ht="19.5">
      <c r="A43" s="54" t="s">
        <v>46</v>
      </c>
      <c r="B43" s="55" t="s">
        <v>18</v>
      </c>
      <c r="C43" s="56"/>
      <c r="D43" s="56"/>
      <c r="E43" s="56"/>
      <c r="F43" s="56"/>
      <c r="G43" s="57"/>
      <c r="H43" s="57"/>
      <c r="I43" s="57"/>
      <c r="J43" s="57"/>
      <c r="K43" s="57"/>
      <c r="L43" s="57"/>
      <c r="M43" s="57"/>
      <c r="N43" s="57"/>
      <c r="O43" s="57"/>
      <c r="P43" s="57"/>
      <c r="Q43" s="57"/>
      <c r="R43" s="57"/>
      <c r="S43" s="57"/>
      <c r="T43" s="57"/>
      <c r="U43" s="57"/>
      <c r="V43" s="57"/>
      <c r="W43" s="57"/>
      <c r="X43" s="57"/>
      <c r="Y43" s="57"/>
      <c r="Z43" s="57"/>
      <c r="AA43" s="57"/>
    </row>
    <row r="44" spans="1:27">
      <c r="A44" s="58" t="s">
        <v>13</v>
      </c>
      <c r="B44" s="47" t="s">
        <v>40</v>
      </c>
      <c r="C44" s="59"/>
      <c r="D44" s="59"/>
      <c r="E44" s="59"/>
      <c r="F44" s="59"/>
      <c r="G44" s="60"/>
      <c r="H44" s="60"/>
      <c r="I44" s="60"/>
      <c r="J44" s="60"/>
      <c r="K44" s="60"/>
      <c r="L44" s="60"/>
      <c r="M44" s="60"/>
      <c r="N44" s="60"/>
      <c r="O44" s="60"/>
      <c r="P44" s="60"/>
      <c r="Q44" s="60"/>
      <c r="R44" s="60"/>
      <c r="S44" s="60"/>
      <c r="T44" s="60"/>
      <c r="U44" s="60"/>
      <c r="V44" s="60"/>
      <c r="W44" s="60"/>
      <c r="X44" s="60"/>
      <c r="Y44" s="60"/>
      <c r="Z44" s="60"/>
      <c r="AA44" s="60"/>
    </row>
    <row r="45" spans="1:27">
      <c r="A45" s="58" t="s">
        <v>2</v>
      </c>
      <c r="B45" s="49" t="s">
        <v>42</v>
      </c>
      <c r="C45" s="59"/>
      <c r="D45" s="59"/>
      <c r="E45" s="59"/>
      <c r="F45" s="59"/>
      <c r="G45" s="60"/>
      <c r="H45" s="60"/>
      <c r="I45" s="60"/>
      <c r="J45" s="60"/>
      <c r="K45" s="60"/>
      <c r="L45" s="60"/>
      <c r="M45" s="60"/>
      <c r="N45" s="60"/>
      <c r="O45" s="60"/>
      <c r="P45" s="60"/>
      <c r="Q45" s="60"/>
      <c r="R45" s="60"/>
      <c r="S45" s="60"/>
      <c r="T45" s="60"/>
      <c r="U45" s="60"/>
      <c r="V45" s="60"/>
      <c r="W45" s="60"/>
      <c r="X45" s="60"/>
      <c r="Y45" s="60"/>
      <c r="Z45" s="60"/>
      <c r="AA45" s="60"/>
    </row>
    <row r="46" spans="1:27" s="3" customFormat="1" ht="19.5">
      <c r="A46" s="54" t="s">
        <v>19</v>
      </c>
      <c r="B46" s="55" t="s">
        <v>20</v>
      </c>
      <c r="C46" s="56"/>
      <c r="D46" s="56"/>
      <c r="E46" s="56"/>
      <c r="F46" s="56"/>
      <c r="G46" s="57"/>
      <c r="H46" s="57"/>
      <c r="I46" s="57"/>
      <c r="J46" s="57"/>
      <c r="K46" s="57"/>
      <c r="L46" s="57"/>
      <c r="M46" s="57"/>
      <c r="N46" s="57"/>
      <c r="O46" s="57"/>
      <c r="P46" s="57"/>
      <c r="Q46" s="57"/>
      <c r="R46" s="57"/>
      <c r="S46" s="57"/>
      <c r="T46" s="57"/>
      <c r="U46" s="57"/>
      <c r="V46" s="57"/>
      <c r="W46" s="57"/>
      <c r="X46" s="57"/>
      <c r="Y46" s="57"/>
      <c r="Z46" s="57"/>
      <c r="AA46" s="57"/>
    </row>
    <row r="47" spans="1:27">
      <c r="A47" s="58" t="s">
        <v>13</v>
      </c>
      <c r="B47" s="47" t="s">
        <v>40</v>
      </c>
      <c r="C47" s="59"/>
      <c r="D47" s="59"/>
      <c r="E47" s="59"/>
      <c r="F47" s="59"/>
      <c r="G47" s="60"/>
      <c r="H47" s="60"/>
      <c r="I47" s="60"/>
      <c r="J47" s="60"/>
      <c r="K47" s="60"/>
      <c r="L47" s="60"/>
      <c r="M47" s="60"/>
      <c r="N47" s="60"/>
      <c r="O47" s="60"/>
      <c r="P47" s="60"/>
      <c r="Q47" s="60"/>
      <c r="R47" s="60"/>
      <c r="S47" s="60"/>
      <c r="T47" s="60"/>
      <c r="U47" s="60"/>
      <c r="V47" s="60"/>
      <c r="W47" s="60"/>
      <c r="X47" s="60"/>
      <c r="Y47" s="60"/>
      <c r="Z47" s="60"/>
      <c r="AA47" s="60"/>
    </row>
    <row r="48" spans="1:27">
      <c r="A48" s="58" t="s">
        <v>2</v>
      </c>
      <c r="B48" s="49" t="s">
        <v>42</v>
      </c>
      <c r="C48" s="59"/>
      <c r="D48" s="59"/>
      <c r="E48" s="59"/>
      <c r="F48" s="59"/>
      <c r="G48" s="60"/>
      <c r="H48" s="60"/>
      <c r="I48" s="60"/>
      <c r="J48" s="60"/>
      <c r="K48" s="60"/>
      <c r="L48" s="60"/>
      <c r="M48" s="60"/>
      <c r="N48" s="60"/>
      <c r="O48" s="60"/>
      <c r="P48" s="60"/>
      <c r="Q48" s="60"/>
      <c r="R48" s="60"/>
      <c r="S48" s="60"/>
      <c r="T48" s="60"/>
      <c r="U48" s="60"/>
      <c r="V48" s="60"/>
      <c r="W48" s="60"/>
      <c r="X48" s="60"/>
      <c r="Y48" s="60"/>
      <c r="Z48" s="60"/>
      <c r="AA48" s="60"/>
    </row>
    <row r="49" spans="1:27" ht="37.5">
      <c r="A49" s="50" t="s">
        <v>24</v>
      </c>
      <c r="B49" s="51" t="s">
        <v>115</v>
      </c>
      <c r="C49" s="59"/>
      <c r="D49" s="59"/>
      <c r="E49" s="59"/>
      <c r="F49" s="59"/>
      <c r="G49" s="60"/>
      <c r="H49" s="60"/>
      <c r="I49" s="60"/>
      <c r="J49" s="60"/>
      <c r="K49" s="60"/>
      <c r="L49" s="60"/>
      <c r="M49" s="60"/>
      <c r="N49" s="60"/>
      <c r="O49" s="60"/>
      <c r="P49" s="60"/>
      <c r="Q49" s="60"/>
      <c r="R49" s="60"/>
      <c r="S49" s="60"/>
      <c r="T49" s="60"/>
      <c r="U49" s="60"/>
      <c r="V49" s="60"/>
      <c r="W49" s="60"/>
      <c r="X49" s="60"/>
      <c r="Y49" s="60"/>
      <c r="Z49" s="60"/>
      <c r="AA49" s="60"/>
    </row>
    <row r="50" spans="1:27" s="3" customFormat="1" ht="19.5">
      <c r="A50" s="54" t="s">
        <v>45</v>
      </c>
      <c r="B50" s="55" t="s">
        <v>17</v>
      </c>
      <c r="C50" s="56"/>
      <c r="D50" s="56"/>
      <c r="E50" s="56"/>
      <c r="F50" s="56"/>
      <c r="G50" s="57"/>
      <c r="H50" s="57"/>
      <c r="I50" s="57"/>
      <c r="J50" s="57"/>
      <c r="K50" s="57"/>
      <c r="L50" s="57"/>
      <c r="M50" s="57"/>
      <c r="N50" s="57"/>
      <c r="O50" s="57"/>
      <c r="P50" s="57"/>
      <c r="Q50" s="57"/>
      <c r="R50" s="57"/>
      <c r="S50" s="57"/>
      <c r="T50" s="57"/>
      <c r="U50" s="57"/>
      <c r="V50" s="57"/>
      <c r="W50" s="57"/>
      <c r="X50" s="57"/>
      <c r="Y50" s="57"/>
      <c r="Z50" s="57"/>
      <c r="AA50" s="57"/>
    </row>
    <row r="51" spans="1:27">
      <c r="A51" s="58" t="s">
        <v>13</v>
      </c>
      <c r="B51" s="47" t="s">
        <v>40</v>
      </c>
      <c r="C51" s="59"/>
      <c r="D51" s="59"/>
      <c r="E51" s="59"/>
      <c r="F51" s="59"/>
      <c r="G51" s="60"/>
      <c r="H51" s="60"/>
      <c r="I51" s="60"/>
      <c r="J51" s="60"/>
      <c r="K51" s="60"/>
      <c r="L51" s="60"/>
      <c r="M51" s="60"/>
      <c r="N51" s="60"/>
      <c r="O51" s="60"/>
      <c r="P51" s="60"/>
      <c r="Q51" s="60"/>
      <c r="R51" s="60"/>
      <c r="S51" s="60"/>
      <c r="T51" s="60"/>
      <c r="U51" s="60"/>
      <c r="V51" s="60"/>
      <c r="W51" s="60"/>
      <c r="X51" s="60"/>
      <c r="Y51" s="60"/>
      <c r="Z51" s="60"/>
      <c r="AA51" s="60"/>
    </row>
    <row r="52" spans="1:27">
      <c r="A52" s="58" t="s">
        <v>2</v>
      </c>
      <c r="B52" s="49" t="s">
        <v>42</v>
      </c>
      <c r="C52" s="59"/>
      <c r="D52" s="59"/>
      <c r="E52" s="59"/>
      <c r="F52" s="59"/>
      <c r="G52" s="60"/>
      <c r="H52" s="60"/>
      <c r="I52" s="60"/>
      <c r="J52" s="60"/>
      <c r="K52" s="60"/>
      <c r="L52" s="60"/>
      <c r="M52" s="60"/>
      <c r="N52" s="60"/>
      <c r="O52" s="60"/>
      <c r="P52" s="60"/>
      <c r="Q52" s="60"/>
      <c r="R52" s="60"/>
      <c r="S52" s="60"/>
      <c r="T52" s="60"/>
      <c r="U52" s="60"/>
      <c r="V52" s="60"/>
      <c r="W52" s="60"/>
      <c r="X52" s="60"/>
      <c r="Y52" s="60"/>
      <c r="Z52" s="60"/>
      <c r="AA52" s="60"/>
    </row>
    <row r="53" spans="1:27" s="3" customFormat="1" ht="19.5">
      <c r="A53" s="54" t="s">
        <v>46</v>
      </c>
      <c r="B53" s="55" t="s">
        <v>18</v>
      </c>
      <c r="C53" s="56"/>
      <c r="D53" s="56"/>
      <c r="E53" s="56"/>
      <c r="F53" s="56"/>
      <c r="G53" s="57"/>
      <c r="H53" s="57"/>
      <c r="I53" s="57"/>
      <c r="J53" s="57"/>
      <c r="K53" s="57"/>
      <c r="L53" s="57"/>
      <c r="M53" s="57"/>
      <c r="N53" s="57"/>
      <c r="O53" s="57"/>
      <c r="P53" s="57"/>
      <c r="Q53" s="57"/>
      <c r="R53" s="57"/>
      <c r="S53" s="57"/>
      <c r="T53" s="57"/>
      <c r="U53" s="57"/>
      <c r="V53" s="57"/>
      <c r="W53" s="57"/>
      <c r="X53" s="57"/>
      <c r="Y53" s="57"/>
      <c r="Z53" s="57"/>
      <c r="AA53" s="57"/>
    </row>
    <row r="54" spans="1:27">
      <c r="A54" s="58" t="s">
        <v>13</v>
      </c>
      <c r="B54" s="47" t="s">
        <v>40</v>
      </c>
      <c r="C54" s="59"/>
      <c r="D54" s="59"/>
      <c r="E54" s="59"/>
      <c r="F54" s="59"/>
      <c r="G54" s="60"/>
      <c r="H54" s="60"/>
      <c r="I54" s="60"/>
      <c r="J54" s="60"/>
      <c r="K54" s="60"/>
      <c r="L54" s="60"/>
      <c r="M54" s="60"/>
      <c r="N54" s="60"/>
      <c r="O54" s="60"/>
      <c r="P54" s="60"/>
      <c r="Q54" s="60"/>
      <c r="R54" s="60"/>
      <c r="S54" s="60"/>
      <c r="T54" s="60"/>
      <c r="U54" s="60"/>
      <c r="V54" s="60"/>
      <c r="W54" s="60"/>
      <c r="X54" s="60"/>
      <c r="Y54" s="60"/>
      <c r="Z54" s="60"/>
      <c r="AA54" s="60"/>
    </row>
    <row r="55" spans="1:27">
      <c r="A55" s="58" t="s">
        <v>2</v>
      </c>
      <c r="B55" s="49" t="s">
        <v>42</v>
      </c>
      <c r="C55" s="59"/>
      <c r="D55" s="59"/>
      <c r="E55" s="59"/>
      <c r="F55" s="59"/>
      <c r="G55" s="60"/>
      <c r="H55" s="60"/>
      <c r="I55" s="60"/>
      <c r="J55" s="60"/>
      <c r="K55" s="60"/>
      <c r="L55" s="60"/>
      <c r="M55" s="60"/>
      <c r="N55" s="60"/>
      <c r="O55" s="60"/>
      <c r="P55" s="60"/>
      <c r="Q55" s="60"/>
      <c r="R55" s="60"/>
      <c r="S55" s="60"/>
      <c r="T55" s="60"/>
      <c r="U55" s="60"/>
      <c r="V55" s="60"/>
      <c r="W55" s="60"/>
      <c r="X55" s="60"/>
      <c r="Y55" s="60"/>
      <c r="Z55" s="60"/>
      <c r="AA55" s="60"/>
    </row>
    <row r="56" spans="1:27" s="3" customFormat="1" ht="19.5">
      <c r="A56" s="54" t="s">
        <v>19</v>
      </c>
      <c r="B56" s="55" t="s">
        <v>20</v>
      </c>
      <c r="C56" s="56"/>
      <c r="D56" s="56"/>
      <c r="E56" s="56"/>
      <c r="F56" s="56"/>
      <c r="G56" s="57"/>
      <c r="H56" s="57"/>
      <c r="I56" s="57"/>
      <c r="J56" s="57"/>
      <c r="K56" s="57"/>
      <c r="L56" s="57"/>
      <c r="M56" s="57"/>
      <c r="N56" s="57"/>
      <c r="O56" s="57"/>
      <c r="P56" s="57"/>
      <c r="Q56" s="57"/>
      <c r="R56" s="57"/>
      <c r="S56" s="57"/>
      <c r="T56" s="57"/>
      <c r="U56" s="57"/>
      <c r="V56" s="57"/>
      <c r="W56" s="57"/>
      <c r="X56" s="57"/>
      <c r="Y56" s="57"/>
      <c r="Z56" s="57"/>
      <c r="AA56" s="57"/>
    </row>
    <row r="57" spans="1:27">
      <c r="A57" s="58" t="s">
        <v>13</v>
      </c>
      <c r="B57" s="47" t="s">
        <v>40</v>
      </c>
      <c r="C57" s="59"/>
      <c r="D57" s="59"/>
      <c r="E57" s="59"/>
      <c r="F57" s="59"/>
      <c r="G57" s="60"/>
      <c r="H57" s="60"/>
      <c r="I57" s="60"/>
      <c r="J57" s="60"/>
      <c r="K57" s="60"/>
      <c r="L57" s="60"/>
      <c r="M57" s="60"/>
      <c r="N57" s="60"/>
      <c r="O57" s="60"/>
      <c r="P57" s="60"/>
      <c r="Q57" s="60"/>
      <c r="R57" s="60"/>
      <c r="S57" s="60"/>
      <c r="T57" s="60"/>
      <c r="U57" s="60"/>
      <c r="V57" s="60"/>
      <c r="W57" s="60"/>
      <c r="X57" s="60"/>
      <c r="Y57" s="60"/>
      <c r="Z57" s="60"/>
      <c r="AA57" s="60"/>
    </row>
    <row r="58" spans="1:27">
      <c r="A58" s="58" t="s">
        <v>2</v>
      </c>
      <c r="B58" s="49" t="s">
        <v>42</v>
      </c>
      <c r="C58" s="59"/>
      <c r="D58" s="59"/>
      <c r="E58" s="59"/>
      <c r="F58" s="59"/>
      <c r="G58" s="60"/>
      <c r="H58" s="60"/>
      <c r="I58" s="60"/>
      <c r="J58" s="60"/>
      <c r="K58" s="60"/>
      <c r="L58" s="60"/>
      <c r="M58" s="60"/>
      <c r="N58" s="60"/>
      <c r="O58" s="60"/>
      <c r="P58" s="60"/>
      <c r="Q58" s="60"/>
      <c r="R58" s="60"/>
      <c r="S58" s="60"/>
      <c r="T58" s="60"/>
      <c r="U58" s="60"/>
      <c r="V58" s="60"/>
      <c r="W58" s="60"/>
      <c r="X58" s="60"/>
      <c r="Y58" s="60"/>
      <c r="Z58" s="60"/>
      <c r="AA58" s="60"/>
    </row>
    <row r="59" spans="1:27" ht="40.5">
      <c r="A59" s="50" t="s">
        <v>44</v>
      </c>
      <c r="B59" s="43" t="s">
        <v>73</v>
      </c>
      <c r="C59" s="59"/>
      <c r="D59" s="59"/>
      <c r="E59" s="59"/>
      <c r="F59" s="59"/>
      <c r="G59" s="60"/>
      <c r="H59" s="60"/>
      <c r="I59" s="60"/>
      <c r="J59" s="60"/>
      <c r="K59" s="60"/>
      <c r="L59" s="60"/>
      <c r="M59" s="60"/>
      <c r="N59" s="60"/>
      <c r="O59" s="60"/>
      <c r="P59" s="60"/>
      <c r="Q59" s="60"/>
      <c r="R59" s="60"/>
      <c r="S59" s="60"/>
      <c r="T59" s="60"/>
      <c r="U59" s="60"/>
      <c r="V59" s="60"/>
      <c r="W59" s="60"/>
      <c r="X59" s="60"/>
      <c r="Y59" s="60"/>
      <c r="Z59" s="60"/>
      <c r="AA59" s="60"/>
    </row>
    <row r="60" spans="1:27" ht="37.5">
      <c r="A60" s="61" t="s">
        <v>2</v>
      </c>
      <c r="B60" s="62" t="s">
        <v>11</v>
      </c>
      <c r="C60" s="63"/>
      <c r="D60" s="63"/>
      <c r="E60" s="63"/>
      <c r="F60" s="63"/>
      <c r="G60" s="64"/>
      <c r="H60" s="64"/>
      <c r="I60" s="64"/>
      <c r="J60" s="64"/>
      <c r="K60" s="64"/>
      <c r="L60" s="64"/>
      <c r="M60" s="64"/>
      <c r="N60" s="64"/>
      <c r="O60" s="64"/>
      <c r="P60" s="64"/>
      <c r="Q60" s="64"/>
      <c r="R60" s="64"/>
      <c r="S60" s="64"/>
      <c r="T60" s="64"/>
      <c r="U60" s="64"/>
      <c r="V60" s="64"/>
      <c r="W60" s="64"/>
      <c r="X60" s="64"/>
      <c r="Y60" s="64"/>
      <c r="Z60" s="64"/>
      <c r="AA60" s="64"/>
    </row>
    <row r="61" spans="1:27" ht="0.75" customHeight="1">
      <c r="A61" s="19"/>
      <c r="B61" s="20"/>
      <c r="C61" s="21"/>
      <c r="D61" s="21"/>
      <c r="E61" s="21"/>
      <c r="F61" s="21"/>
      <c r="G61" s="22"/>
      <c r="H61" s="22"/>
      <c r="I61" s="22"/>
      <c r="J61" s="22"/>
      <c r="K61" s="22"/>
      <c r="L61" s="22"/>
      <c r="M61" s="22"/>
      <c r="N61" s="22"/>
      <c r="O61" s="22"/>
      <c r="P61" s="22"/>
      <c r="Q61" s="22"/>
      <c r="R61" s="22"/>
      <c r="S61" s="22"/>
      <c r="T61" s="22"/>
      <c r="U61" s="22"/>
      <c r="V61" s="22"/>
      <c r="W61" s="22"/>
      <c r="X61" s="22"/>
      <c r="Y61" s="22"/>
      <c r="Z61" s="22"/>
      <c r="AA61" s="22"/>
    </row>
    <row r="62" spans="1:27" ht="20.100000000000001" customHeight="1">
      <c r="B62" s="4" t="s">
        <v>75</v>
      </c>
      <c r="C62" s="13"/>
      <c r="D62" s="13"/>
      <c r="E62" s="13"/>
      <c r="F62" s="13"/>
    </row>
    <row r="63" spans="1:27">
      <c r="A63" s="15"/>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c r="A64" s="15"/>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c r="A65" s="15"/>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c r="A66" s="15"/>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c r="A67" s="15"/>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c r="A68" s="15"/>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c r="A69" s="15"/>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c r="A70" s="15"/>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c r="A71" s="15"/>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c r="A72" s="15"/>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c r="A73" s="15"/>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c r="A74" s="15"/>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c r="A75" s="15"/>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c r="A76" s="15"/>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c r="A77" s="15"/>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c r="A78" s="15"/>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c r="A79" s="15"/>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c r="A80" s="15"/>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c r="A81" s="15"/>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c r="A82" s="15"/>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c r="A83" s="15"/>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c r="A84" s="15"/>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c r="A85" s="15"/>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c r="A86" s="15"/>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c r="A87" s="15"/>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c r="A88" s="15"/>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c r="A89" s="15"/>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c r="A90" s="15"/>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c r="A91" s="15"/>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c r="A92" s="15"/>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c r="A93" s="15"/>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c r="A94" s="15"/>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c r="A95" s="15"/>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c r="A96" s="15"/>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c r="A97" s="15"/>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c r="A98" s="15"/>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c r="A99" s="15"/>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c r="A100" s="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c r="A101" s="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c r="A102" s="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c r="A103" s="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c r="A104" s="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c r="A105" s="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c r="A106" s="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c r="A107" s="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c r="A108" s="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c r="A109" s="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c r="A110" s="1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c r="A111" s="1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c r="A112" s="1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c r="A113" s="1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c r="A114" s="1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c r="A115" s="1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c r="A116" s="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c r="A117" s="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c r="A118" s="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c r="A119" s="1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c r="A120" s="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c r="A121" s="1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c r="A122" s="1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c r="A123" s="1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c r="A124" s="1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c r="A125" s="1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c r="A126" s="1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c r="A127" s="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c r="A128" s="1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c r="A129" s="1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c r="A130" s="1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c r="A131" s="1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c r="A132" s="1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c r="A133" s="1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c r="A134" s="1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c r="A135" s="1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c r="A136" s="1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c r="A137" s="1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c r="A138" s="1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c r="A139" s="1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c r="A140" s="1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c r="A141" s="1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c r="A142" s="1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c r="A143" s="1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c r="A144" s="1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c r="A145" s="1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c r="A146" s="1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c r="A147" s="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c r="A148" s="1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c r="A149" s="1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c r="A150" s="1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c r="A151" s="1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c r="A152" s="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c r="A153" s="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c r="A154" s="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c r="A155" s="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c r="A156" s="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c r="A157" s="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c r="A158" s="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c r="A159" s="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c r="A160" s="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c r="A161" s="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c r="A162" s="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c r="A163" s="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c r="A164" s="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c r="A165" s="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c r="A166" s="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c r="A167" s="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c r="A168" s="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c r="A169" s="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c r="A170" s="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c r="A171" s="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c r="A172" s="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c r="A173" s="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c r="A174" s="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c r="A175" s="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c r="A176" s="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c r="A177" s="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c r="A178" s="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c r="A179" s="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c r="A180" s="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c r="A181" s="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c r="A182" s="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c r="A183" s="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c r="A184" s="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c r="A185" s="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c r="A186" s="1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c r="A187" s="1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c r="A188" s="1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c r="A189" s="1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c r="A190" s="1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c r="A191" s="1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c r="A192" s="1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c r="A193" s="1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c r="A194" s="1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c r="A195" s="1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c r="A196" s="1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c r="A197" s="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c r="A198" s="1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c r="A199" s="1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c r="A200" s="1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c r="A201" s="1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c r="A202" s="1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c r="A203" s="1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c r="A204" s="1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c r="A205" s="1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c r="A206" s="1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c r="A207" s="1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c r="A208" s="1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c r="A209" s="1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c r="A210" s="1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c r="A211" s="1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c r="A212" s="1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c r="A213" s="1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c r="A214" s="1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c r="A215" s="1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c r="A216" s="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c r="A217" s="1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c r="A218" s="1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c r="A219" s="1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c r="A220" s="1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c r="A221" s="1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c r="A222" s="1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c r="A223" s="1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c r="A224" s="1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c r="A225" s="1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c r="A226" s="1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c r="A227" s="1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c r="A228" s="1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c r="A229" s="1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c r="A230" s="1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c r="A231" s="1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c r="A232" s="1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c r="A233" s="1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c r="A234" s="1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c r="A235" s="1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c r="A236" s="1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c r="A237" s="1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c r="A238" s="1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c r="A239" s="1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c r="A240" s="1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c r="A241" s="1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c r="A242" s="1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c r="A243" s="1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c r="A244" s="1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c r="A245" s="1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c r="A246" s="1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c r="A247" s="1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c r="A248" s="1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c r="A249" s="1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c r="A250" s="1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c r="A251" s="1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c r="A256" s="1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c r="A257" s="1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c r="A258" s="1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c r="A259" s="1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c r="A260" s="1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c r="A261" s="1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c r="A262" s="1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c r="A263" s="1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c r="A264" s="1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c r="A265" s="1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c r="A266" s="1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c r="A267" s="1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c r="A268" s="1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c r="A269" s="1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c r="A270" s="1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c r="A271" s="1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c r="A272" s="1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c r="A273" s="1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c r="A274" s="1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c r="A275" s="1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c r="A276" s="1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c r="A277" s="1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c r="A278" s="1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c r="A279" s="1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c r="A280" s="1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c r="A281" s="1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c r="A282" s="1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c r="A283" s="1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c r="A284" s="1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c r="A285" s="1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c r="A286" s="1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c r="A287" s="1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c r="A288" s="1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c r="A289" s="1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c r="A290" s="1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c r="A291" s="1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c r="A292" s="1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c r="A293" s="1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c r="A294" s="1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c r="A295" s="1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c r="A296" s="1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c r="A297" s="15"/>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c r="A298" s="15"/>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c r="A299" s="15"/>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c r="A300" s="15"/>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c r="A301" s="15"/>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c r="A302" s="15"/>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c r="A303" s="15"/>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c r="A304" s="15"/>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c r="A305" s="15"/>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c r="A306" s="15"/>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c r="A307" s="15"/>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c r="A308" s="15"/>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c r="A309" s="15"/>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c r="A310" s="15"/>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c r="A311" s="15"/>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c r="A312" s="15"/>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c r="A313" s="15"/>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c r="A314" s="15"/>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c r="A315" s="15"/>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c r="A316" s="15"/>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c r="A317" s="15"/>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c r="A318" s="15"/>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c r="A319" s="15"/>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c r="A320" s="15"/>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c r="A321" s="15"/>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c r="A322" s="15"/>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c r="A323" s="15"/>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c r="A324" s="15"/>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c r="A325" s="15"/>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c r="A326" s="15"/>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c r="A327" s="15"/>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c r="A328" s="15"/>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c r="A329" s="15"/>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c r="A330" s="15"/>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c r="A331" s="15"/>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c r="A332" s="15"/>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c r="A333" s="15"/>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c r="A334" s="15"/>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c r="A335" s="15"/>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c r="A336" s="15"/>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c r="A337" s="15"/>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c r="A338" s="15"/>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c r="A339" s="15"/>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c r="A340" s="15"/>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c r="A341" s="15"/>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c r="A342" s="15"/>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c r="A343" s="15"/>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c r="A344" s="15"/>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c r="A345" s="15"/>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c r="A346" s="15"/>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c r="A347" s="15"/>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c r="A348" s="15"/>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c r="A349" s="15"/>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c r="A350" s="15"/>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c r="A351" s="15"/>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c r="A352" s="15"/>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c r="A353" s="15"/>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c r="A354" s="15"/>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c r="A355" s="15"/>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c r="A356" s="15"/>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c r="A357" s="15"/>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c r="A358" s="15"/>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c r="A359" s="15"/>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c r="A360" s="15"/>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c r="A361" s="15"/>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c r="A362" s="15"/>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c r="A363" s="15"/>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c r="A364" s="15"/>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c r="A365" s="15"/>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c r="A366" s="15"/>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c r="A367" s="15"/>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c r="A368" s="15"/>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c r="A369" s="15"/>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c r="A370" s="15"/>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c r="A371" s="15"/>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sheetData>
  <mergeCells count="41">
    <mergeCell ref="A2:AA2"/>
    <mergeCell ref="A3:AA3"/>
    <mergeCell ref="A4:AA4"/>
    <mergeCell ref="A5:AA5"/>
    <mergeCell ref="O8:O10"/>
    <mergeCell ref="P8:P10"/>
    <mergeCell ref="S8:S10"/>
    <mergeCell ref="T8:T10"/>
    <mergeCell ref="F6:H6"/>
    <mergeCell ref="J8:L8"/>
    <mergeCell ref="V8:V10"/>
    <mergeCell ref="Q7:R7"/>
    <mergeCell ref="Q8:Q10"/>
    <mergeCell ref="R8:R10"/>
    <mergeCell ref="G8:G10"/>
    <mergeCell ref="H8:H10"/>
    <mergeCell ref="J9:J10"/>
    <mergeCell ref="A6:A10"/>
    <mergeCell ref="B6:B10"/>
    <mergeCell ref="C6:C10"/>
    <mergeCell ref="D6:D10"/>
    <mergeCell ref="E6:E10"/>
    <mergeCell ref="F7:F10"/>
    <mergeCell ref="G7:H7"/>
    <mergeCell ref="I8:I10"/>
    <mergeCell ref="I6:L7"/>
    <mergeCell ref="K9:L9"/>
    <mergeCell ref="S7:T7"/>
    <mergeCell ref="U6:V7"/>
    <mergeCell ref="W6:Z7"/>
    <mergeCell ref="AA6:AA10"/>
    <mergeCell ref="M7:N7"/>
    <mergeCell ref="O7:P7"/>
    <mergeCell ref="M6:T6"/>
    <mergeCell ref="X8:Z8"/>
    <mergeCell ref="M8:M10"/>
    <mergeCell ref="N8:N10"/>
    <mergeCell ref="X9:X10"/>
    <mergeCell ref="Y9:Z9"/>
    <mergeCell ref="U8:U10"/>
    <mergeCell ref="W8:W10"/>
  </mergeCells>
  <pageMargins left="0.25" right="0.25" top="0.75" bottom="0.75" header="0.3" footer="0.3"/>
  <pageSetup paperSize="9" scale="50" fitToHeight="0" orientation="landscape" useFirstPageNumber="1" r:id="rId1"/>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U27"/>
  <sheetViews>
    <sheetView zoomScale="85" zoomScaleNormal="85" workbookViewId="0">
      <selection activeCell="A4" sqref="A4:K4"/>
    </sheetView>
  </sheetViews>
  <sheetFormatPr defaultColWidth="12.28515625" defaultRowHeight="18.75"/>
  <cols>
    <col min="1" max="1" width="6" style="184" customWidth="1"/>
    <col min="2" max="2" width="49" style="180" customWidth="1"/>
    <col min="3" max="3" width="11.85546875" style="180" customWidth="1"/>
    <col min="4" max="6" width="18" style="180" customWidth="1"/>
    <col min="7" max="7" width="16.140625" style="180" customWidth="1"/>
    <col min="8" max="8" width="19.7109375" style="180" customWidth="1"/>
    <col min="9" max="10" width="14.140625" style="180" customWidth="1"/>
    <col min="11" max="11" width="29" style="180" customWidth="1"/>
    <col min="12" max="12" width="9.140625" style="180" customWidth="1"/>
    <col min="13" max="13" width="11.5703125" style="180" customWidth="1"/>
    <col min="14" max="14" width="10.5703125" style="180" customWidth="1"/>
    <col min="15" max="246" width="9.140625" style="180" customWidth="1"/>
    <col min="247" max="247" width="6" style="180" customWidth="1"/>
    <col min="248" max="248" width="41" style="180" customWidth="1"/>
    <col min="249" max="255" width="12.28515625" style="180" customWidth="1"/>
    <col min="256" max="16384" width="12.28515625" style="182"/>
  </cols>
  <sheetData>
    <row r="1" spans="1:255" ht="20.25" customHeight="1">
      <c r="A1" s="452" t="s">
        <v>90</v>
      </c>
      <c r="B1" s="452"/>
      <c r="C1" s="452"/>
      <c r="D1" s="452"/>
      <c r="E1" s="452"/>
      <c r="F1" s="452"/>
      <c r="G1" s="452"/>
      <c r="H1" s="452"/>
      <c r="I1" s="452"/>
      <c r="J1" s="452"/>
      <c r="K1" s="452"/>
      <c r="L1" s="179"/>
      <c r="M1" s="179"/>
      <c r="N1" s="179"/>
      <c r="P1" s="181"/>
      <c r="Q1" s="181"/>
      <c r="R1" s="181"/>
      <c r="S1" s="181"/>
      <c r="T1" s="181"/>
      <c r="U1" s="181"/>
      <c r="V1" s="181"/>
      <c r="W1" s="181"/>
      <c r="X1" s="181"/>
      <c r="Y1" s="181"/>
      <c r="Z1" s="181"/>
      <c r="AA1" s="181"/>
      <c r="AB1" s="181"/>
      <c r="AC1" s="181"/>
      <c r="AD1" s="181"/>
      <c r="AE1" s="181"/>
      <c r="AF1" s="181"/>
      <c r="AG1" s="181"/>
      <c r="AH1" s="181"/>
      <c r="AI1" s="181"/>
      <c r="AJ1" s="181"/>
      <c r="AK1" s="181"/>
      <c r="AL1" s="181"/>
    </row>
    <row r="2" spans="1:255" ht="42.75" customHeight="1">
      <c r="A2" s="456" t="s">
        <v>99</v>
      </c>
      <c r="B2" s="456"/>
      <c r="C2" s="456"/>
      <c r="D2" s="456"/>
      <c r="E2" s="456"/>
      <c r="F2" s="456"/>
      <c r="G2" s="456"/>
      <c r="H2" s="456"/>
      <c r="I2" s="456"/>
      <c r="J2" s="456"/>
      <c r="K2" s="456"/>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c r="FA2" s="183"/>
      <c r="FB2" s="183"/>
      <c r="FC2" s="183"/>
      <c r="FD2" s="183"/>
      <c r="FE2" s="183"/>
      <c r="FF2" s="183"/>
      <c r="FG2" s="183"/>
      <c r="FH2" s="183"/>
      <c r="FI2" s="183"/>
      <c r="FJ2" s="183"/>
      <c r="FK2" s="183"/>
      <c r="FL2" s="183"/>
      <c r="FM2" s="183"/>
      <c r="FN2" s="183"/>
      <c r="FO2" s="183"/>
      <c r="FP2" s="183"/>
      <c r="FQ2" s="183"/>
      <c r="FR2" s="183"/>
      <c r="FS2" s="183"/>
      <c r="FT2" s="183"/>
      <c r="FU2" s="183"/>
      <c r="FV2" s="183"/>
      <c r="FW2" s="183"/>
      <c r="FX2" s="183"/>
      <c r="FY2" s="183"/>
      <c r="FZ2" s="183"/>
      <c r="GA2" s="183"/>
      <c r="GB2" s="183"/>
      <c r="GC2" s="183"/>
      <c r="GD2" s="183"/>
      <c r="GE2" s="183"/>
      <c r="GF2" s="183"/>
      <c r="GG2" s="183"/>
      <c r="GH2" s="183"/>
      <c r="GI2" s="183"/>
      <c r="GJ2" s="183"/>
      <c r="GK2" s="183"/>
      <c r="GL2" s="183"/>
      <c r="GM2" s="183"/>
      <c r="GN2" s="183"/>
      <c r="GO2" s="183"/>
      <c r="GP2" s="183"/>
      <c r="GQ2" s="183"/>
      <c r="GR2" s="183"/>
      <c r="GS2" s="183"/>
      <c r="GT2" s="183"/>
      <c r="GU2" s="183"/>
      <c r="GV2" s="183"/>
      <c r="GW2" s="183"/>
      <c r="GX2" s="183"/>
      <c r="GY2" s="183"/>
      <c r="GZ2" s="183"/>
      <c r="HA2" s="183"/>
      <c r="HB2" s="183"/>
      <c r="HC2" s="183"/>
      <c r="HD2" s="183"/>
      <c r="HE2" s="183"/>
      <c r="HF2" s="183"/>
      <c r="HG2" s="183"/>
      <c r="HH2" s="183"/>
      <c r="HI2" s="183"/>
      <c r="HJ2" s="183"/>
      <c r="HK2" s="183"/>
      <c r="HL2" s="183"/>
      <c r="HM2" s="183"/>
      <c r="HN2" s="183"/>
      <c r="HO2" s="183"/>
      <c r="HP2" s="183"/>
      <c r="HQ2" s="183"/>
      <c r="HR2" s="183"/>
      <c r="HS2" s="183"/>
      <c r="HT2" s="183"/>
      <c r="HU2" s="183"/>
      <c r="HV2" s="183"/>
      <c r="HW2" s="183"/>
      <c r="HX2" s="183"/>
      <c r="HY2" s="183"/>
      <c r="HZ2" s="183"/>
      <c r="IA2" s="183"/>
      <c r="IB2" s="183"/>
      <c r="IC2" s="183"/>
      <c r="ID2" s="183"/>
      <c r="IE2" s="183"/>
      <c r="IF2" s="183"/>
      <c r="IG2" s="183"/>
      <c r="IH2" s="183"/>
      <c r="II2" s="183"/>
      <c r="IJ2" s="183"/>
      <c r="IK2" s="183"/>
      <c r="IL2" s="183"/>
      <c r="IM2" s="183"/>
      <c r="IN2" s="183"/>
      <c r="IO2" s="183"/>
      <c r="IP2" s="183"/>
      <c r="IQ2" s="183"/>
      <c r="IR2" s="183"/>
      <c r="IS2" s="183"/>
      <c r="IT2" s="183"/>
      <c r="IU2" s="183"/>
    </row>
    <row r="3" spans="1:255" ht="20.25">
      <c r="A3" s="453" t="s">
        <v>1368</v>
      </c>
      <c r="B3" s="453"/>
      <c r="C3" s="453"/>
      <c r="D3" s="453"/>
      <c r="E3" s="453"/>
      <c r="F3" s="453"/>
      <c r="G3" s="453"/>
      <c r="H3" s="453"/>
      <c r="I3" s="453"/>
      <c r="J3" s="453"/>
      <c r="K3" s="45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c r="FX3" s="183"/>
      <c r="FY3" s="183"/>
      <c r="FZ3" s="183"/>
      <c r="GA3" s="183"/>
      <c r="GB3" s="183"/>
      <c r="GC3" s="183"/>
      <c r="GD3" s="183"/>
      <c r="GE3" s="183"/>
      <c r="GF3" s="183"/>
      <c r="GG3" s="183"/>
      <c r="GH3" s="183"/>
      <c r="GI3" s="183"/>
      <c r="GJ3" s="183"/>
      <c r="GK3" s="183"/>
      <c r="GL3" s="183"/>
      <c r="GM3" s="183"/>
      <c r="GN3" s="183"/>
      <c r="GO3" s="183"/>
      <c r="GP3" s="183"/>
      <c r="GQ3" s="183"/>
      <c r="GR3" s="183"/>
      <c r="GS3" s="183"/>
      <c r="GT3" s="183"/>
      <c r="GU3" s="183"/>
      <c r="GV3" s="183"/>
      <c r="GW3" s="183"/>
      <c r="GX3" s="183"/>
      <c r="GY3" s="183"/>
      <c r="GZ3" s="183"/>
      <c r="HA3" s="183"/>
      <c r="HB3" s="183"/>
      <c r="HC3" s="183"/>
      <c r="HD3" s="183"/>
      <c r="HE3" s="183"/>
      <c r="HF3" s="183"/>
      <c r="HG3" s="183"/>
      <c r="HH3" s="183"/>
      <c r="HI3" s="183"/>
      <c r="HJ3" s="183"/>
      <c r="HK3" s="183"/>
      <c r="HL3" s="183"/>
      <c r="HM3" s="183"/>
      <c r="HN3" s="183"/>
      <c r="HO3" s="183"/>
      <c r="HP3" s="183"/>
      <c r="HQ3" s="183"/>
      <c r="HR3" s="183"/>
      <c r="HS3" s="183"/>
      <c r="HT3" s="183"/>
      <c r="HU3" s="183"/>
      <c r="HV3" s="183"/>
      <c r="HW3" s="183"/>
      <c r="HX3" s="183"/>
      <c r="HY3" s="183"/>
      <c r="HZ3" s="183"/>
      <c r="IA3" s="183"/>
      <c r="IB3" s="183"/>
      <c r="IC3" s="183"/>
      <c r="ID3" s="183"/>
      <c r="IE3" s="183"/>
      <c r="IF3" s="183"/>
      <c r="IG3" s="183"/>
      <c r="IH3" s="183"/>
      <c r="II3" s="183"/>
      <c r="IJ3" s="183"/>
      <c r="IK3" s="183"/>
      <c r="IL3" s="183"/>
      <c r="IM3" s="183"/>
      <c r="IN3" s="183"/>
      <c r="IO3" s="183"/>
      <c r="IP3" s="183"/>
      <c r="IQ3" s="183"/>
      <c r="IR3" s="183"/>
      <c r="IS3" s="183"/>
      <c r="IT3" s="183"/>
      <c r="IU3" s="183"/>
    </row>
    <row r="4" spans="1:255">
      <c r="A4" s="457" t="s">
        <v>1</v>
      </c>
      <c r="B4" s="457"/>
      <c r="C4" s="457"/>
      <c r="D4" s="457"/>
      <c r="E4" s="457"/>
      <c r="F4" s="457"/>
      <c r="G4" s="457"/>
      <c r="H4" s="457"/>
      <c r="I4" s="457"/>
      <c r="J4" s="457"/>
      <c r="K4" s="457"/>
    </row>
    <row r="5" spans="1:255">
      <c r="A5" s="454" t="s">
        <v>22</v>
      </c>
      <c r="B5" s="454" t="s">
        <v>16</v>
      </c>
      <c r="C5" s="454" t="s">
        <v>100</v>
      </c>
      <c r="D5" s="454"/>
      <c r="E5" s="454"/>
      <c r="F5" s="454"/>
      <c r="G5" s="454" t="s">
        <v>91</v>
      </c>
      <c r="H5" s="454" t="s">
        <v>1345</v>
      </c>
      <c r="I5" s="454" t="s">
        <v>104</v>
      </c>
      <c r="J5" s="458" t="s">
        <v>105</v>
      </c>
      <c r="K5" s="454" t="s">
        <v>33</v>
      </c>
      <c r="L5" s="455"/>
      <c r="M5" s="455"/>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84"/>
      <c r="CA5" s="184"/>
      <c r="CB5" s="184"/>
      <c r="CC5" s="184"/>
      <c r="CD5" s="184"/>
      <c r="CE5" s="184"/>
      <c r="CF5" s="184"/>
      <c r="CG5" s="184"/>
      <c r="CH5" s="184"/>
      <c r="CI5" s="184"/>
      <c r="CJ5" s="184"/>
      <c r="CK5" s="184"/>
      <c r="CL5" s="184"/>
      <c r="CM5" s="184"/>
      <c r="CN5" s="184"/>
      <c r="CO5" s="184"/>
      <c r="CP5" s="184"/>
      <c r="CQ5" s="184"/>
      <c r="CR5" s="184"/>
      <c r="CS5" s="184"/>
      <c r="CT5" s="184"/>
      <c r="CU5" s="184"/>
      <c r="CV5" s="184"/>
      <c r="CW5" s="184"/>
      <c r="CX5" s="184"/>
      <c r="CY5" s="184"/>
      <c r="CZ5" s="184"/>
      <c r="DA5" s="184"/>
      <c r="DB5" s="184"/>
      <c r="DC5" s="184"/>
      <c r="DD5" s="184"/>
      <c r="DE5" s="184"/>
      <c r="DF5" s="184"/>
      <c r="DG5" s="184"/>
      <c r="DH5" s="184"/>
      <c r="DI5" s="184"/>
      <c r="DJ5" s="184"/>
      <c r="DK5" s="184"/>
      <c r="DL5" s="184"/>
      <c r="DM5" s="184"/>
      <c r="DN5" s="184"/>
      <c r="DO5" s="184"/>
      <c r="DP5" s="184"/>
      <c r="DQ5" s="184"/>
      <c r="DR5" s="184"/>
      <c r="DS5" s="184"/>
      <c r="DT5" s="184"/>
      <c r="DU5" s="184"/>
      <c r="DV5" s="184"/>
      <c r="DW5" s="184"/>
      <c r="DX5" s="184"/>
      <c r="DY5" s="184"/>
      <c r="DZ5" s="184"/>
      <c r="EA5" s="184"/>
      <c r="EB5" s="184"/>
      <c r="EC5" s="184"/>
      <c r="ED5" s="184"/>
      <c r="EE5" s="184"/>
      <c r="EF5" s="184"/>
      <c r="EG5" s="184"/>
      <c r="EH5" s="184"/>
      <c r="EI5" s="184"/>
      <c r="EJ5" s="184"/>
      <c r="EK5" s="184"/>
      <c r="EL5" s="184"/>
      <c r="EM5" s="184"/>
      <c r="EN5" s="184"/>
      <c r="EO5" s="184"/>
      <c r="EP5" s="184"/>
      <c r="EQ5" s="184"/>
      <c r="ER5" s="184"/>
      <c r="ES5" s="184"/>
      <c r="ET5" s="184"/>
      <c r="EU5" s="184"/>
      <c r="EV5" s="184"/>
      <c r="EW5" s="184"/>
      <c r="EX5" s="184"/>
      <c r="EY5" s="184"/>
      <c r="EZ5" s="184"/>
      <c r="FA5" s="184"/>
      <c r="FB5" s="184"/>
      <c r="FC5" s="184"/>
      <c r="FD5" s="184"/>
      <c r="FE5" s="184"/>
      <c r="FF5" s="184"/>
      <c r="FG5" s="184"/>
      <c r="FH5" s="184"/>
      <c r="FI5" s="184"/>
      <c r="FJ5" s="184"/>
      <c r="FK5" s="184"/>
      <c r="FL5" s="184"/>
      <c r="FM5" s="184"/>
      <c r="FN5" s="184"/>
      <c r="FO5" s="184"/>
      <c r="FP5" s="184"/>
      <c r="FQ5" s="184"/>
      <c r="FR5" s="184"/>
      <c r="FS5" s="184"/>
      <c r="FT5" s="184"/>
      <c r="FU5" s="184"/>
      <c r="FV5" s="184"/>
      <c r="FW5" s="184"/>
      <c r="FX5" s="184"/>
      <c r="FY5" s="184"/>
      <c r="FZ5" s="184"/>
      <c r="GA5" s="184"/>
      <c r="GB5" s="184"/>
      <c r="GC5" s="184"/>
      <c r="GD5" s="184"/>
      <c r="GE5" s="184"/>
      <c r="GF5" s="184"/>
      <c r="GG5" s="184"/>
      <c r="GH5" s="184"/>
      <c r="GI5" s="184"/>
      <c r="GJ5" s="184"/>
      <c r="GK5" s="184"/>
      <c r="GL5" s="184"/>
      <c r="GM5" s="184"/>
      <c r="GN5" s="184"/>
      <c r="GO5" s="184"/>
      <c r="GP5" s="184"/>
      <c r="GQ5" s="184"/>
      <c r="GR5" s="184"/>
      <c r="GS5" s="184"/>
      <c r="GT5" s="184"/>
      <c r="GU5" s="184"/>
      <c r="GV5" s="184"/>
      <c r="GW5" s="184"/>
      <c r="GX5" s="184"/>
      <c r="GY5" s="184"/>
      <c r="GZ5" s="184"/>
      <c r="HA5" s="184"/>
      <c r="HB5" s="184"/>
      <c r="HC5" s="184"/>
      <c r="HD5" s="184"/>
      <c r="HE5" s="184"/>
      <c r="HF5" s="184"/>
      <c r="HG5" s="184"/>
      <c r="HH5" s="184"/>
      <c r="HI5" s="184"/>
      <c r="HJ5" s="184"/>
      <c r="HK5" s="184"/>
      <c r="HL5" s="184"/>
      <c r="HM5" s="184"/>
      <c r="HN5" s="184"/>
      <c r="HO5" s="184"/>
      <c r="HP5" s="184"/>
      <c r="HQ5" s="184"/>
      <c r="HR5" s="184"/>
      <c r="HS5" s="184"/>
      <c r="HT5" s="184"/>
      <c r="HU5" s="184"/>
      <c r="HV5" s="184"/>
      <c r="HW5" s="184"/>
      <c r="HX5" s="184"/>
      <c r="HY5" s="184"/>
      <c r="HZ5" s="184"/>
      <c r="IA5" s="184"/>
      <c r="IB5" s="184"/>
      <c r="IC5" s="184"/>
      <c r="ID5" s="184"/>
      <c r="IE5" s="184"/>
      <c r="IF5" s="184"/>
      <c r="IG5" s="184"/>
      <c r="IH5" s="184"/>
      <c r="II5" s="184"/>
      <c r="IJ5" s="184"/>
      <c r="IK5" s="184"/>
      <c r="IL5" s="184"/>
      <c r="IM5" s="184"/>
      <c r="IN5" s="184"/>
      <c r="IO5" s="184"/>
      <c r="IP5" s="184"/>
      <c r="IQ5" s="184"/>
      <c r="IR5" s="184"/>
      <c r="IS5" s="184"/>
      <c r="IT5" s="184"/>
      <c r="IU5" s="184"/>
    </row>
    <row r="6" spans="1:255" ht="78" customHeight="1">
      <c r="A6" s="454"/>
      <c r="B6" s="454"/>
      <c r="C6" s="185" t="s">
        <v>21</v>
      </c>
      <c r="D6" s="185" t="s">
        <v>101</v>
      </c>
      <c r="E6" s="185" t="s">
        <v>102</v>
      </c>
      <c r="F6" s="185" t="s">
        <v>103</v>
      </c>
      <c r="G6" s="454"/>
      <c r="H6" s="454"/>
      <c r="I6" s="454"/>
      <c r="J6" s="459"/>
      <c r="K6" s="45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184"/>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184"/>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184"/>
      <c r="EY6" s="184"/>
      <c r="EZ6" s="184"/>
      <c r="FA6" s="184"/>
      <c r="FB6" s="184"/>
      <c r="FC6" s="184"/>
      <c r="FD6" s="184"/>
      <c r="FE6" s="184"/>
      <c r="FF6" s="184"/>
      <c r="FG6" s="184"/>
      <c r="FH6" s="184"/>
      <c r="FI6" s="184"/>
      <c r="FJ6" s="184"/>
      <c r="FK6" s="184"/>
      <c r="FL6" s="184"/>
      <c r="FM6" s="184"/>
      <c r="FN6" s="184"/>
      <c r="FO6" s="184"/>
      <c r="FP6" s="184"/>
      <c r="FQ6" s="184"/>
      <c r="FR6" s="184"/>
      <c r="FS6" s="184"/>
      <c r="FT6" s="184"/>
      <c r="FU6" s="184"/>
      <c r="FV6" s="184"/>
      <c r="FW6" s="184"/>
      <c r="FX6" s="184"/>
      <c r="FY6" s="184"/>
      <c r="FZ6" s="184"/>
      <c r="GA6" s="184"/>
      <c r="GB6" s="184"/>
      <c r="GC6" s="184"/>
      <c r="GD6" s="184"/>
      <c r="GE6" s="184"/>
      <c r="GF6" s="184"/>
      <c r="GG6" s="184"/>
      <c r="GH6" s="184"/>
      <c r="GI6" s="184"/>
      <c r="GJ6" s="184"/>
      <c r="GK6" s="184"/>
      <c r="GL6" s="184"/>
      <c r="GM6" s="184"/>
      <c r="GN6" s="184"/>
      <c r="GO6" s="184"/>
      <c r="GP6" s="184"/>
      <c r="GQ6" s="184"/>
      <c r="GR6" s="184"/>
      <c r="GS6" s="184"/>
      <c r="GT6" s="184"/>
      <c r="GU6" s="184"/>
      <c r="GV6" s="184"/>
      <c r="GW6" s="184"/>
      <c r="GX6" s="184"/>
      <c r="GY6" s="184"/>
      <c r="GZ6" s="184"/>
      <c r="HA6" s="184"/>
      <c r="HB6" s="184"/>
      <c r="HC6" s="184"/>
      <c r="HD6" s="184"/>
      <c r="HE6" s="184"/>
      <c r="HF6" s="184"/>
      <c r="HG6" s="184"/>
      <c r="HH6" s="184"/>
      <c r="HI6" s="184"/>
      <c r="HJ6" s="184"/>
      <c r="HK6" s="184"/>
      <c r="HL6" s="184"/>
      <c r="HM6" s="184"/>
      <c r="HN6" s="184"/>
      <c r="HO6" s="184"/>
      <c r="HP6" s="184"/>
      <c r="HQ6" s="184"/>
      <c r="HR6" s="184"/>
      <c r="HS6" s="184"/>
      <c r="HT6" s="184"/>
      <c r="HU6" s="184"/>
      <c r="HV6" s="184"/>
      <c r="HW6" s="184"/>
      <c r="HX6" s="184"/>
      <c r="HY6" s="184"/>
      <c r="HZ6" s="184"/>
      <c r="IA6" s="184"/>
      <c r="IB6" s="184"/>
      <c r="IC6" s="184"/>
      <c r="ID6" s="184"/>
      <c r="IE6" s="184"/>
      <c r="IF6" s="184"/>
      <c r="IG6" s="184"/>
      <c r="IH6" s="184"/>
      <c r="II6" s="184"/>
      <c r="IJ6" s="184"/>
      <c r="IK6" s="184"/>
      <c r="IL6" s="184"/>
      <c r="IM6" s="184"/>
      <c r="IN6" s="184"/>
      <c r="IO6" s="184"/>
      <c r="IP6" s="184"/>
      <c r="IQ6" s="184"/>
      <c r="IR6" s="184"/>
      <c r="IS6" s="184"/>
      <c r="IT6" s="184"/>
      <c r="IU6" s="184"/>
    </row>
    <row r="7" spans="1:255">
      <c r="A7" s="186" t="s">
        <v>13</v>
      </c>
      <c r="B7" s="186" t="s">
        <v>0</v>
      </c>
      <c r="C7" s="186" t="s">
        <v>5</v>
      </c>
      <c r="D7" s="186" t="s">
        <v>6</v>
      </c>
      <c r="E7" s="186" t="s">
        <v>6</v>
      </c>
      <c r="F7" s="186" t="s">
        <v>14</v>
      </c>
      <c r="G7" s="186" t="s">
        <v>48</v>
      </c>
      <c r="H7" s="186">
        <v>7</v>
      </c>
      <c r="I7" s="186">
        <v>8</v>
      </c>
      <c r="J7" s="186">
        <v>9</v>
      </c>
      <c r="K7" s="186">
        <v>10</v>
      </c>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184"/>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184"/>
      <c r="EY7" s="184"/>
      <c r="EZ7" s="184"/>
      <c r="FA7" s="184"/>
      <c r="FB7" s="184"/>
      <c r="FC7" s="184"/>
      <c r="FD7" s="184"/>
      <c r="FE7" s="184"/>
      <c r="FF7" s="184"/>
      <c r="FG7" s="184"/>
      <c r="FH7" s="184"/>
      <c r="FI7" s="184"/>
      <c r="FJ7" s="184"/>
      <c r="FK7" s="184"/>
      <c r="FL7" s="184"/>
      <c r="FM7" s="184"/>
      <c r="FN7" s="184"/>
      <c r="FO7" s="184"/>
      <c r="FP7" s="184"/>
      <c r="FQ7" s="184"/>
      <c r="FR7" s="184"/>
      <c r="FS7" s="184"/>
      <c r="FT7" s="184"/>
      <c r="FU7" s="184"/>
      <c r="FV7" s="184"/>
      <c r="FW7" s="184"/>
      <c r="FX7" s="184"/>
      <c r="FY7" s="184"/>
      <c r="FZ7" s="184"/>
      <c r="GA7" s="184"/>
      <c r="GB7" s="184"/>
      <c r="GC7" s="184"/>
      <c r="GD7" s="184"/>
      <c r="GE7" s="184"/>
      <c r="GF7" s="184"/>
      <c r="GG7" s="184"/>
      <c r="GH7" s="184"/>
      <c r="GI7" s="184"/>
      <c r="GJ7" s="184"/>
      <c r="GK7" s="184"/>
      <c r="GL7" s="184"/>
      <c r="GM7" s="184"/>
      <c r="GN7" s="184"/>
      <c r="GO7" s="184"/>
      <c r="GP7" s="184"/>
      <c r="GQ7" s="184"/>
      <c r="GR7" s="184"/>
      <c r="GS7" s="184"/>
      <c r="GT7" s="184"/>
      <c r="GU7" s="184"/>
      <c r="GV7" s="184"/>
      <c r="GW7" s="184"/>
      <c r="GX7" s="184"/>
      <c r="GY7" s="184"/>
      <c r="GZ7" s="184"/>
      <c r="HA7" s="184"/>
      <c r="HB7" s="184"/>
      <c r="HC7" s="184"/>
      <c r="HD7" s="184"/>
      <c r="HE7" s="184"/>
      <c r="HF7" s="184"/>
      <c r="HG7" s="184"/>
      <c r="HH7" s="184"/>
      <c r="HI7" s="184"/>
      <c r="HJ7" s="184"/>
      <c r="HK7" s="184"/>
      <c r="HL7" s="184"/>
      <c r="HM7" s="184"/>
      <c r="HN7" s="184"/>
      <c r="HO7" s="184"/>
      <c r="HP7" s="184"/>
      <c r="HQ7" s="184"/>
      <c r="HR7" s="184"/>
      <c r="HS7" s="184"/>
      <c r="HT7" s="184"/>
      <c r="HU7" s="184"/>
      <c r="HV7" s="184"/>
      <c r="HW7" s="184"/>
      <c r="HX7" s="184"/>
      <c r="HY7" s="184"/>
      <c r="HZ7" s="184"/>
      <c r="IA7" s="184"/>
      <c r="IB7" s="184"/>
      <c r="IC7" s="184"/>
      <c r="ID7" s="184"/>
      <c r="IE7" s="184"/>
      <c r="IF7" s="184"/>
      <c r="IG7" s="184"/>
      <c r="IH7" s="184"/>
      <c r="II7" s="184"/>
      <c r="IJ7" s="184"/>
      <c r="IK7" s="184"/>
      <c r="IL7" s="184"/>
      <c r="IM7" s="184"/>
      <c r="IN7" s="184"/>
      <c r="IO7" s="184"/>
      <c r="IP7" s="184"/>
      <c r="IQ7" s="184"/>
      <c r="IR7" s="184"/>
      <c r="IS7" s="184"/>
      <c r="IT7" s="184"/>
      <c r="IU7" s="184"/>
    </row>
    <row r="8" spans="1:255">
      <c r="A8" s="187"/>
      <c r="B8" s="188" t="s">
        <v>4</v>
      </c>
      <c r="C8" s="189"/>
      <c r="D8" s="189"/>
      <c r="E8" s="189"/>
      <c r="F8" s="189"/>
      <c r="G8" s="189"/>
      <c r="H8" s="189"/>
      <c r="I8" s="189"/>
      <c r="J8" s="189"/>
      <c r="K8" s="190"/>
    </row>
    <row r="9" spans="1:255">
      <c r="A9" s="191" t="s">
        <v>38</v>
      </c>
      <c r="B9" s="192" t="s">
        <v>87</v>
      </c>
      <c r="C9" s="193">
        <f>SUM(C11,C17)</f>
        <v>8227930</v>
      </c>
      <c r="D9" s="193">
        <f t="shared" ref="D9:J9" si="0">SUM(D11,D17)</f>
        <v>3466110</v>
      </c>
      <c r="E9" s="193">
        <f t="shared" si="0"/>
        <v>5323413.68</v>
      </c>
      <c r="F9" s="193">
        <f t="shared" si="0"/>
        <v>7894284.1400000006</v>
      </c>
      <c r="G9" s="193">
        <f t="shared" si="0"/>
        <v>35044700</v>
      </c>
      <c r="H9" s="193">
        <f t="shared" si="0"/>
        <v>25997465</v>
      </c>
      <c r="I9" s="193">
        <f t="shared" si="0"/>
        <v>9047235</v>
      </c>
      <c r="J9" s="193">
        <f t="shared" si="0"/>
        <v>8667088</v>
      </c>
      <c r="K9" s="194"/>
      <c r="L9" s="183">
        <f>J9/C9*100</f>
        <v>105.33740564151614</v>
      </c>
      <c r="M9" s="183">
        <v>7660166</v>
      </c>
      <c r="N9" s="183">
        <f>J9/M9*100</f>
        <v>113.14491095884867</v>
      </c>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c r="GI9" s="183"/>
      <c r="GJ9" s="183"/>
      <c r="GK9" s="183"/>
      <c r="GL9" s="183"/>
      <c r="GM9" s="183"/>
      <c r="GN9" s="183"/>
      <c r="GO9" s="183"/>
      <c r="GP9" s="183"/>
      <c r="GQ9" s="183"/>
      <c r="GR9" s="183"/>
      <c r="GS9" s="183"/>
      <c r="GT9" s="183"/>
      <c r="GU9" s="183"/>
      <c r="GV9" s="183"/>
      <c r="GW9" s="183"/>
      <c r="GX9" s="183"/>
      <c r="GY9" s="183"/>
      <c r="GZ9" s="183"/>
      <c r="HA9" s="183"/>
      <c r="HB9" s="183"/>
      <c r="HC9" s="183"/>
      <c r="HD9" s="183"/>
      <c r="HE9" s="183"/>
      <c r="HF9" s="183"/>
      <c r="HG9" s="183"/>
      <c r="HH9" s="183"/>
      <c r="HI9" s="183"/>
      <c r="HJ9" s="183"/>
      <c r="HK9" s="183"/>
      <c r="HL9" s="183"/>
      <c r="HM9" s="183"/>
      <c r="HN9" s="183"/>
      <c r="HO9" s="183"/>
      <c r="HP9" s="183"/>
      <c r="HQ9" s="183"/>
      <c r="HR9" s="183"/>
      <c r="HS9" s="183"/>
      <c r="HT9" s="183"/>
      <c r="HU9" s="183"/>
      <c r="HV9" s="183"/>
      <c r="HW9" s="183"/>
      <c r="HX9" s="183"/>
      <c r="HY9" s="183"/>
      <c r="HZ9" s="183"/>
      <c r="IA9" s="183"/>
      <c r="IB9" s="183"/>
      <c r="IC9" s="183"/>
      <c r="ID9" s="183"/>
      <c r="IE9" s="183"/>
      <c r="IF9" s="183"/>
      <c r="IG9" s="183"/>
      <c r="IH9" s="183"/>
      <c r="II9" s="183"/>
      <c r="IJ9" s="183"/>
      <c r="IK9" s="183"/>
      <c r="IL9" s="183"/>
      <c r="IM9" s="183"/>
      <c r="IN9" s="183"/>
      <c r="IO9" s="183"/>
      <c r="IP9" s="183"/>
      <c r="IQ9" s="183"/>
      <c r="IR9" s="183"/>
      <c r="IS9" s="183"/>
      <c r="IT9" s="183"/>
      <c r="IU9" s="183"/>
    </row>
    <row r="10" spans="1:255">
      <c r="A10" s="191"/>
      <c r="B10" s="195" t="s">
        <v>8</v>
      </c>
      <c r="C10" s="196"/>
      <c r="D10" s="196"/>
      <c r="E10" s="196"/>
      <c r="F10" s="196"/>
      <c r="G10" s="197"/>
      <c r="H10" s="197"/>
      <c r="I10" s="197"/>
      <c r="J10" s="197"/>
      <c r="K10" s="194"/>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c r="FX10" s="183"/>
      <c r="FY10" s="183"/>
      <c r="FZ10" s="183"/>
      <c r="GA10" s="183"/>
      <c r="GB10" s="183"/>
      <c r="GC10" s="183"/>
      <c r="GD10" s="183"/>
      <c r="GE10" s="183"/>
      <c r="GF10" s="183"/>
      <c r="GG10" s="183"/>
      <c r="GH10" s="183"/>
      <c r="GI10" s="183"/>
      <c r="GJ10" s="183"/>
      <c r="GK10" s="183"/>
      <c r="GL10" s="183"/>
      <c r="GM10" s="183"/>
      <c r="GN10" s="183"/>
      <c r="GO10" s="183"/>
      <c r="GP10" s="183"/>
      <c r="GQ10" s="183"/>
      <c r="GR10" s="183"/>
      <c r="GS10" s="183"/>
      <c r="GT10" s="183"/>
      <c r="GU10" s="183"/>
      <c r="GV10" s="183"/>
      <c r="GW10" s="183"/>
      <c r="GX10" s="183"/>
      <c r="GY10" s="183"/>
      <c r="GZ10" s="183"/>
      <c r="HA10" s="183"/>
      <c r="HB10" s="183"/>
      <c r="HC10" s="183"/>
      <c r="HD10" s="183"/>
      <c r="HE10" s="183"/>
      <c r="HF10" s="183"/>
      <c r="HG10" s="183"/>
      <c r="HH10" s="183"/>
      <c r="HI10" s="183"/>
      <c r="HJ10" s="183"/>
      <c r="HK10" s="183"/>
      <c r="HL10" s="183"/>
      <c r="HM10" s="183"/>
      <c r="HN10" s="183"/>
      <c r="HO10" s="183"/>
      <c r="HP10" s="183"/>
      <c r="HQ10" s="183"/>
      <c r="HR10" s="183"/>
      <c r="HS10" s="183"/>
      <c r="HT10" s="183"/>
      <c r="HU10" s="183"/>
      <c r="HV10" s="183"/>
      <c r="HW10" s="183"/>
      <c r="HX10" s="183"/>
      <c r="HY10" s="183"/>
      <c r="HZ10" s="183"/>
      <c r="IA10" s="183"/>
      <c r="IB10" s="183"/>
      <c r="IC10" s="183"/>
      <c r="ID10" s="183"/>
      <c r="IE10" s="183"/>
      <c r="IF10" s="183"/>
      <c r="IG10" s="183"/>
      <c r="IH10" s="183"/>
      <c r="II10" s="183"/>
      <c r="IJ10" s="183"/>
      <c r="IK10" s="183"/>
      <c r="IL10" s="183"/>
      <c r="IM10" s="183"/>
      <c r="IN10" s="183"/>
      <c r="IO10" s="183"/>
      <c r="IP10" s="183"/>
      <c r="IQ10" s="183"/>
      <c r="IR10" s="183"/>
      <c r="IS10" s="183"/>
      <c r="IT10" s="183"/>
      <c r="IU10" s="183"/>
    </row>
    <row r="11" spans="1:255" s="201" customFormat="1" ht="19.5">
      <c r="A11" s="191">
        <v>1</v>
      </c>
      <c r="B11" s="198" t="s">
        <v>85</v>
      </c>
      <c r="C11" s="199">
        <f>SUM(C12:C16)</f>
        <v>4541638</v>
      </c>
      <c r="D11" s="199">
        <f t="shared" ref="D11:J11" si="1">SUM(D12:D16)</f>
        <v>1157540</v>
      </c>
      <c r="E11" s="199">
        <f t="shared" si="1"/>
        <v>3119598.28</v>
      </c>
      <c r="F11" s="199">
        <f t="shared" si="1"/>
        <v>4374882.3900000006</v>
      </c>
      <c r="G11" s="199">
        <f t="shared" si="1"/>
        <v>19569773</v>
      </c>
      <c r="H11" s="199">
        <f t="shared" si="1"/>
        <v>15421396</v>
      </c>
      <c r="I11" s="199">
        <f t="shared" si="1"/>
        <v>4148377</v>
      </c>
      <c r="J11" s="199">
        <f t="shared" si="1"/>
        <v>4148377</v>
      </c>
      <c r="K11" s="194"/>
      <c r="L11" s="183">
        <f>J11/C11*100</f>
        <v>91.340987546783779</v>
      </c>
      <c r="M11" s="200">
        <f>J11-C11</f>
        <v>-393261</v>
      </c>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c r="FV11" s="183"/>
      <c r="FW11" s="183"/>
      <c r="FX11" s="183"/>
      <c r="FY11" s="183"/>
      <c r="FZ11" s="183"/>
      <c r="GA11" s="183"/>
      <c r="GB11" s="183"/>
      <c r="GC11" s="183"/>
      <c r="GD11" s="183"/>
      <c r="GE11" s="183"/>
      <c r="GF11" s="183"/>
      <c r="GG11" s="183"/>
      <c r="GH11" s="183"/>
      <c r="GI11" s="183"/>
      <c r="GJ11" s="183"/>
      <c r="GK11" s="183"/>
      <c r="GL11" s="183"/>
      <c r="GM11" s="183"/>
      <c r="GN11" s="183"/>
      <c r="GO11" s="183"/>
      <c r="GP11" s="183"/>
      <c r="GQ11" s="183"/>
      <c r="GR11" s="183"/>
      <c r="GS11" s="183"/>
      <c r="GT11" s="183"/>
      <c r="GU11" s="183"/>
      <c r="GV11" s="183"/>
      <c r="GW11" s="183"/>
      <c r="GX11" s="183"/>
      <c r="GY11" s="183"/>
      <c r="GZ11" s="183"/>
      <c r="HA11" s="183"/>
      <c r="HB11" s="183"/>
      <c r="HC11" s="183"/>
      <c r="HD11" s="183"/>
      <c r="HE11" s="183"/>
      <c r="HF11" s="183"/>
      <c r="HG11" s="183"/>
      <c r="HH11" s="183"/>
      <c r="HI11" s="183"/>
      <c r="HJ11" s="183"/>
      <c r="HK11" s="183"/>
      <c r="HL11" s="183"/>
      <c r="HM11" s="183"/>
      <c r="HN11" s="183"/>
      <c r="HO11" s="183"/>
      <c r="HP11" s="183"/>
      <c r="HQ11" s="183"/>
      <c r="HR11" s="183"/>
      <c r="HS11" s="183"/>
      <c r="HT11" s="183"/>
      <c r="HU11" s="183"/>
      <c r="HV11" s="183"/>
      <c r="HW11" s="183"/>
      <c r="HX11" s="183"/>
      <c r="HY11" s="183"/>
      <c r="HZ11" s="183"/>
      <c r="IA11" s="183"/>
      <c r="IB11" s="183"/>
      <c r="IC11" s="183"/>
      <c r="ID11" s="183"/>
      <c r="IE11" s="183"/>
      <c r="IF11" s="183"/>
      <c r="IG11" s="183"/>
      <c r="IH11" s="183"/>
      <c r="II11" s="183"/>
      <c r="IJ11" s="183"/>
      <c r="IK11" s="183"/>
      <c r="IL11" s="183"/>
      <c r="IM11" s="183"/>
      <c r="IN11" s="183"/>
      <c r="IO11" s="183"/>
      <c r="IP11" s="183"/>
      <c r="IQ11" s="183"/>
      <c r="IR11" s="183"/>
      <c r="IS11" s="183"/>
      <c r="IT11" s="183"/>
      <c r="IU11" s="183"/>
    </row>
    <row r="12" spans="1:255" ht="42" customHeight="1">
      <c r="A12" s="202" t="s">
        <v>54</v>
      </c>
      <c r="B12" s="203" t="s">
        <v>86</v>
      </c>
      <c r="C12" s="204">
        <v>1381674</v>
      </c>
      <c r="D12" s="204">
        <v>332334</v>
      </c>
      <c r="E12" s="204">
        <f>C12*0.72</f>
        <v>994805.27999999991</v>
      </c>
      <c r="F12" s="204">
        <f>C12*0.96</f>
        <v>1326407.04</v>
      </c>
      <c r="G12" s="204">
        <v>6918800</v>
      </c>
      <c r="H12" s="204">
        <f>3744736+C12</f>
        <v>5126410</v>
      </c>
      <c r="I12" s="204">
        <f>G12-H12</f>
        <v>1792390</v>
      </c>
      <c r="J12" s="204">
        <f>I12</f>
        <v>1792390</v>
      </c>
      <c r="K12" s="194"/>
      <c r="L12" s="180">
        <f t="shared" ref="L12:L15" si="2">J12/C12*100</f>
        <v>129.72597009135296</v>
      </c>
      <c r="M12" s="205">
        <f t="shared" ref="M12:M15" si="3">J12-C12</f>
        <v>410716</v>
      </c>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c r="FV12" s="183"/>
      <c r="FW12" s="183"/>
      <c r="FX12" s="183"/>
      <c r="FY12" s="183"/>
      <c r="FZ12" s="183"/>
      <c r="GA12" s="183"/>
      <c r="GB12" s="183"/>
      <c r="GC12" s="183"/>
      <c r="GD12" s="183"/>
      <c r="GE12" s="183"/>
      <c r="GF12" s="183"/>
      <c r="GG12" s="183"/>
      <c r="GH12" s="183"/>
      <c r="GI12" s="183"/>
      <c r="GJ12" s="183"/>
      <c r="GK12" s="183"/>
      <c r="GL12" s="183"/>
      <c r="GM12" s="183"/>
      <c r="GN12" s="183"/>
      <c r="GO12" s="183"/>
      <c r="GP12" s="183"/>
      <c r="GQ12" s="183"/>
      <c r="GR12" s="183"/>
      <c r="GS12" s="183"/>
      <c r="GT12" s="183"/>
      <c r="GU12" s="183"/>
      <c r="GV12" s="183"/>
      <c r="GW12" s="183"/>
      <c r="GX12" s="183"/>
      <c r="GY12" s="183"/>
      <c r="GZ12" s="183"/>
      <c r="HA12" s="183"/>
      <c r="HB12" s="183"/>
      <c r="HC12" s="183"/>
      <c r="HD12" s="183"/>
      <c r="HE12" s="183"/>
      <c r="HF12" s="183"/>
      <c r="HG12" s="183"/>
      <c r="HH12" s="183"/>
      <c r="HI12" s="183"/>
      <c r="HJ12" s="183"/>
      <c r="HK12" s="183"/>
      <c r="HL12" s="183"/>
      <c r="HM12" s="183"/>
      <c r="HN12" s="183"/>
      <c r="HO12" s="183"/>
      <c r="HP12" s="183"/>
      <c r="HQ12" s="183"/>
      <c r="HR12" s="183"/>
      <c r="HS12" s="183"/>
      <c r="HT12" s="183"/>
      <c r="HU12" s="183"/>
      <c r="HV12" s="183"/>
      <c r="HW12" s="183"/>
      <c r="HX12" s="183"/>
      <c r="HY12" s="183"/>
      <c r="HZ12" s="183"/>
      <c r="IA12" s="183"/>
      <c r="IB12" s="183"/>
      <c r="IC12" s="183"/>
      <c r="ID12" s="183"/>
      <c r="IE12" s="183"/>
      <c r="IF12" s="183"/>
      <c r="IG12" s="183"/>
      <c r="IH12" s="183"/>
      <c r="II12" s="183"/>
      <c r="IJ12" s="183"/>
      <c r="IK12" s="183"/>
      <c r="IL12" s="183"/>
      <c r="IM12" s="183"/>
      <c r="IN12" s="183"/>
      <c r="IO12" s="183"/>
      <c r="IP12" s="183"/>
      <c r="IQ12" s="183"/>
      <c r="IR12" s="183"/>
      <c r="IS12" s="183"/>
      <c r="IT12" s="183"/>
      <c r="IU12" s="183"/>
    </row>
    <row r="13" spans="1:255" ht="24" customHeight="1">
      <c r="A13" s="202" t="s">
        <v>54</v>
      </c>
      <c r="B13" s="206" t="s">
        <v>68</v>
      </c>
      <c r="C13" s="207">
        <v>794014</v>
      </c>
      <c r="D13" s="207">
        <v>240458</v>
      </c>
      <c r="E13" s="207">
        <f>C13*0.6</f>
        <v>476408.39999999997</v>
      </c>
      <c r="F13" s="207">
        <f>C13</f>
        <v>794014</v>
      </c>
      <c r="G13" s="204">
        <v>2988000</v>
      </c>
      <c r="H13" s="204">
        <f>1784000+C13</f>
        <v>2578014</v>
      </c>
      <c r="I13" s="204">
        <f t="shared" ref="I13:I16" si="4">G13-H13</f>
        <v>409986</v>
      </c>
      <c r="J13" s="204">
        <f t="shared" ref="J13:J16" si="5">I13</f>
        <v>409986</v>
      </c>
      <c r="K13" s="203"/>
      <c r="L13" s="180">
        <f t="shared" si="2"/>
        <v>51.634605938938108</v>
      </c>
      <c r="M13" s="205">
        <f t="shared" si="3"/>
        <v>-384028</v>
      </c>
      <c r="IQ13" s="183"/>
      <c r="IR13" s="183"/>
      <c r="IS13" s="183"/>
      <c r="IT13" s="183"/>
      <c r="IU13" s="183"/>
    </row>
    <row r="14" spans="1:255" ht="23.25" customHeight="1">
      <c r="A14" s="202" t="s">
        <v>54</v>
      </c>
      <c r="B14" s="206" t="s">
        <v>69</v>
      </c>
      <c r="C14" s="207">
        <v>2229773</v>
      </c>
      <c r="D14" s="207">
        <v>577513</v>
      </c>
      <c r="E14" s="207">
        <f>C14*0.7</f>
        <v>1560841.0999999999</v>
      </c>
      <c r="F14" s="207">
        <f>C14*0.95</f>
        <v>2118284.35</v>
      </c>
      <c r="G14" s="204">
        <v>9207546</v>
      </c>
      <c r="H14" s="204">
        <f>5117773+C14</f>
        <v>7347546</v>
      </c>
      <c r="I14" s="204">
        <f t="shared" si="4"/>
        <v>1860000</v>
      </c>
      <c r="J14" s="204">
        <f t="shared" si="5"/>
        <v>1860000</v>
      </c>
      <c r="K14" s="203"/>
      <c r="L14" s="180">
        <f t="shared" si="2"/>
        <v>83.416563031304079</v>
      </c>
      <c r="M14" s="205">
        <f t="shared" si="3"/>
        <v>-369773</v>
      </c>
      <c r="IQ14" s="183"/>
      <c r="IR14" s="183"/>
      <c r="IS14" s="183"/>
      <c r="IT14" s="183"/>
      <c r="IU14" s="183"/>
    </row>
    <row r="15" spans="1:255">
      <c r="A15" s="202" t="s">
        <v>54</v>
      </c>
      <c r="B15" s="206" t="s">
        <v>70</v>
      </c>
      <c r="C15" s="207">
        <v>97267</v>
      </c>
      <c r="D15" s="207">
        <v>7235</v>
      </c>
      <c r="E15" s="207">
        <f>C15*0.5</f>
        <v>48633.5</v>
      </c>
      <c r="F15" s="207">
        <f>C15</f>
        <v>97267</v>
      </c>
      <c r="G15" s="204">
        <v>416517</v>
      </c>
      <c r="H15" s="204">
        <f>233249+C15</f>
        <v>330516</v>
      </c>
      <c r="I15" s="204">
        <f t="shared" si="4"/>
        <v>86001</v>
      </c>
      <c r="J15" s="204">
        <f t="shared" si="5"/>
        <v>86001</v>
      </c>
      <c r="K15" s="203"/>
      <c r="L15" s="180">
        <f t="shared" si="2"/>
        <v>88.417448877831134</v>
      </c>
      <c r="M15" s="205">
        <f t="shared" si="3"/>
        <v>-11266</v>
      </c>
      <c r="IQ15" s="183"/>
      <c r="IR15" s="183"/>
      <c r="IS15" s="183"/>
      <c r="IT15" s="183"/>
      <c r="IU15" s="183"/>
    </row>
    <row r="16" spans="1:255" ht="28.9" customHeight="1">
      <c r="A16" s="202" t="s">
        <v>54</v>
      </c>
      <c r="B16" s="206" t="s">
        <v>1347</v>
      </c>
      <c r="C16" s="207">
        <v>38910</v>
      </c>
      <c r="D16" s="207"/>
      <c r="E16" s="207">
        <f>C16</f>
        <v>38910</v>
      </c>
      <c r="F16" s="207">
        <f>E16</f>
        <v>38910</v>
      </c>
      <c r="G16" s="204">
        <v>38910</v>
      </c>
      <c r="H16" s="204">
        <v>38910</v>
      </c>
      <c r="I16" s="204">
        <f t="shared" si="4"/>
        <v>0</v>
      </c>
      <c r="J16" s="204">
        <f t="shared" si="5"/>
        <v>0</v>
      </c>
      <c r="K16" s="208"/>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3"/>
      <c r="CA16" s="183"/>
      <c r="CB16" s="183"/>
      <c r="CC16" s="183"/>
      <c r="CD16" s="183"/>
      <c r="CE16" s="183"/>
      <c r="CF16" s="183"/>
      <c r="CG16" s="183"/>
      <c r="CH16" s="183"/>
      <c r="CI16" s="183"/>
      <c r="CJ16" s="183"/>
      <c r="CK16" s="183"/>
      <c r="CL16" s="183"/>
      <c r="CM16" s="183"/>
      <c r="CN16" s="183"/>
      <c r="CO16" s="183"/>
      <c r="CP16" s="183"/>
      <c r="CQ16" s="183"/>
      <c r="CR16" s="183"/>
      <c r="CS16" s="183"/>
      <c r="CT16" s="183"/>
      <c r="CU16" s="183"/>
      <c r="CV16" s="183"/>
      <c r="CW16" s="183"/>
      <c r="CX16" s="183"/>
      <c r="CY16" s="183"/>
      <c r="CZ16" s="183"/>
      <c r="DA16" s="183"/>
      <c r="DB16" s="183"/>
      <c r="DC16" s="183"/>
      <c r="DD16" s="183"/>
      <c r="DE16" s="183"/>
      <c r="DF16" s="183"/>
      <c r="DG16" s="183"/>
      <c r="DH16" s="183"/>
      <c r="DI16" s="183"/>
      <c r="DJ16" s="183"/>
      <c r="DK16" s="183"/>
      <c r="DL16" s="183"/>
      <c r="DM16" s="183"/>
      <c r="DN16" s="183"/>
      <c r="DO16" s="183"/>
      <c r="DP16" s="183"/>
      <c r="DQ16" s="183"/>
      <c r="DR16" s="183"/>
      <c r="DS16" s="183"/>
      <c r="DT16" s="183"/>
      <c r="DU16" s="183"/>
      <c r="DV16" s="183"/>
      <c r="DW16" s="183"/>
      <c r="DX16" s="183"/>
      <c r="DY16" s="183"/>
      <c r="DZ16" s="183"/>
      <c r="EA16" s="183"/>
      <c r="EB16" s="183"/>
      <c r="EC16" s="183"/>
      <c r="ED16" s="183"/>
      <c r="EE16" s="183"/>
      <c r="EF16" s="183"/>
      <c r="EG16" s="183"/>
      <c r="EH16" s="183"/>
      <c r="EI16" s="183"/>
      <c r="EJ16" s="183"/>
      <c r="EK16" s="183"/>
      <c r="EL16" s="183"/>
      <c r="EM16" s="183"/>
      <c r="EN16" s="183"/>
      <c r="EO16" s="183"/>
      <c r="EP16" s="183"/>
      <c r="EQ16" s="183"/>
      <c r="ER16" s="183"/>
      <c r="ES16" s="183"/>
      <c r="ET16" s="183"/>
      <c r="EU16" s="183"/>
      <c r="EV16" s="183"/>
      <c r="EW16" s="183"/>
      <c r="EX16" s="183"/>
      <c r="EY16" s="183"/>
      <c r="EZ16" s="183"/>
      <c r="FA16" s="183"/>
      <c r="FB16" s="183"/>
      <c r="FC16" s="183"/>
      <c r="FD16" s="183"/>
      <c r="FE16" s="183"/>
      <c r="FF16" s="183"/>
      <c r="FG16" s="183"/>
      <c r="FH16" s="183"/>
      <c r="FI16" s="183"/>
      <c r="FJ16" s="183"/>
      <c r="FK16" s="183"/>
      <c r="FL16" s="183"/>
      <c r="FM16" s="183"/>
      <c r="FN16" s="183"/>
      <c r="FO16" s="183"/>
      <c r="FP16" s="183"/>
      <c r="FQ16" s="183"/>
      <c r="FR16" s="183"/>
      <c r="FS16" s="183"/>
      <c r="FT16" s="183"/>
      <c r="FU16" s="183"/>
      <c r="FV16" s="183"/>
      <c r="FW16" s="183"/>
      <c r="FX16" s="183"/>
      <c r="FY16" s="183"/>
      <c r="FZ16" s="183"/>
      <c r="GA16" s="183"/>
      <c r="GB16" s="183"/>
      <c r="GC16" s="183"/>
      <c r="GD16" s="183"/>
      <c r="GE16" s="183"/>
      <c r="GF16" s="183"/>
      <c r="GG16" s="183"/>
      <c r="GH16" s="183"/>
      <c r="GI16" s="183"/>
      <c r="GJ16" s="183"/>
      <c r="GK16" s="183"/>
      <c r="GL16" s="183"/>
      <c r="GM16" s="183"/>
      <c r="GN16" s="183"/>
      <c r="GO16" s="183"/>
      <c r="GP16" s="183"/>
      <c r="GQ16" s="183"/>
      <c r="GR16" s="183"/>
      <c r="GS16" s="183"/>
      <c r="GT16" s="183"/>
      <c r="GU16" s="183"/>
      <c r="GV16" s="183"/>
      <c r="GW16" s="183"/>
      <c r="GX16" s="183"/>
      <c r="GY16" s="183"/>
      <c r="GZ16" s="183"/>
      <c r="HA16" s="183"/>
      <c r="HB16" s="183"/>
      <c r="HC16" s="183"/>
      <c r="HD16" s="183"/>
      <c r="HE16" s="183"/>
      <c r="HF16" s="183"/>
      <c r="HG16" s="183"/>
      <c r="HH16" s="183"/>
      <c r="HI16" s="183"/>
      <c r="HJ16" s="183"/>
      <c r="HK16" s="183"/>
      <c r="HL16" s="183"/>
      <c r="HM16" s="183"/>
      <c r="HN16" s="183"/>
      <c r="HO16" s="183"/>
      <c r="HP16" s="183"/>
      <c r="HQ16" s="183"/>
      <c r="HR16" s="183"/>
      <c r="HS16" s="183"/>
      <c r="HT16" s="183"/>
      <c r="HU16" s="183"/>
      <c r="HV16" s="183"/>
      <c r="HW16" s="183"/>
      <c r="HX16" s="183"/>
      <c r="HY16" s="183"/>
      <c r="HZ16" s="183"/>
      <c r="IA16" s="183"/>
      <c r="IB16" s="183"/>
      <c r="IC16" s="183"/>
      <c r="ID16" s="183"/>
      <c r="IE16" s="183"/>
      <c r="IF16" s="183"/>
      <c r="IG16" s="183"/>
      <c r="IH16" s="183"/>
      <c r="II16" s="183"/>
      <c r="IJ16" s="183"/>
      <c r="IK16" s="183"/>
      <c r="IL16" s="183"/>
      <c r="IM16" s="183"/>
      <c r="IN16" s="183"/>
      <c r="IO16" s="183"/>
      <c r="IP16" s="183"/>
      <c r="IQ16" s="183"/>
      <c r="IR16" s="183"/>
      <c r="IS16" s="183"/>
      <c r="IT16" s="183"/>
      <c r="IU16" s="183"/>
    </row>
    <row r="17" spans="1:255" s="201" customFormat="1" ht="37.5">
      <c r="A17" s="191">
        <v>2</v>
      </c>
      <c r="B17" s="208" t="s">
        <v>84</v>
      </c>
      <c r="C17" s="209">
        <f t="shared" ref="C17:J17" si="6">C18+C26</f>
        <v>3686292</v>
      </c>
      <c r="D17" s="209">
        <f t="shared" si="6"/>
        <v>2308570</v>
      </c>
      <c r="E17" s="209">
        <f t="shared" si="6"/>
        <v>2203815.4</v>
      </c>
      <c r="F17" s="209">
        <f t="shared" si="6"/>
        <v>3519401.75</v>
      </c>
      <c r="G17" s="209">
        <f t="shared" si="6"/>
        <v>15474927</v>
      </c>
      <c r="H17" s="209">
        <f t="shared" si="6"/>
        <v>10576069</v>
      </c>
      <c r="I17" s="209">
        <f t="shared" si="6"/>
        <v>4898858</v>
      </c>
      <c r="J17" s="209">
        <f t="shared" si="6"/>
        <v>4518711</v>
      </c>
      <c r="K17" s="194"/>
      <c r="L17" s="183">
        <f>J17/C17*100</f>
        <v>122.58147211344081</v>
      </c>
      <c r="M17" s="200">
        <f t="shared" ref="M17:M27" si="7">J17-C17</f>
        <v>832419</v>
      </c>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3"/>
      <c r="BW17" s="183"/>
      <c r="BX17" s="183"/>
      <c r="BY17" s="183"/>
      <c r="BZ17" s="183"/>
      <c r="CA17" s="183"/>
      <c r="CB17" s="183"/>
      <c r="CC17" s="183"/>
      <c r="CD17" s="183"/>
      <c r="CE17" s="183"/>
      <c r="CF17" s="183"/>
      <c r="CG17" s="183"/>
      <c r="CH17" s="183"/>
      <c r="CI17" s="183"/>
      <c r="CJ17" s="183"/>
      <c r="CK17" s="183"/>
      <c r="CL17" s="183"/>
      <c r="CM17" s="183"/>
      <c r="CN17" s="183"/>
      <c r="CO17" s="183"/>
      <c r="CP17" s="183"/>
      <c r="CQ17" s="183"/>
      <c r="CR17" s="183"/>
      <c r="CS17" s="183"/>
      <c r="CT17" s="183"/>
      <c r="CU17" s="183"/>
      <c r="CV17" s="183"/>
      <c r="CW17" s="183"/>
      <c r="CX17" s="183"/>
      <c r="CY17" s="183"/>
      <c r="CZ17" s="183"/>
      <c r="DA17" s="183"/>
      <c r="DB17" s="183"/>
      <c r="DC17" s="183"/>
      <c r="DD17" s="183"/>
      <c r="DE17" s="183"/>
      <c r="DF17" s="183"/>
      <c r="DG17" s="183"/>
      <c r="DH17" s="183"/>
      <c r="DI17" s="183"/>
      <c r="DJ17" s="183"/>
      <c r="DK17" s="183"/>
      <c r="DL17" s="183"/>
      <c r="DM17" s="183"/>
      <c r="DN17" s="183"/>
      <c r="DO17" s="183"/>
      <c r="DP17" s="183"/>
      <c r="DQ17" s="183"/>
      <c r="DR17" s="183"/>
      <c r="DS17" s="183"/>
      <c r="DT17" s="183"/>
      <c r="DU17" s="183"/>
      <c r="DV17" s="183"/>
      <c r="DW17" s="183"/>
      <c r="DX17" s="183"/>
      <c r="DY17" s="183"/>
      <c r="DZ17" s="183"/>
      <c r="EA17" s="183"/>
      <c r="EB17" s="183"/>
      <c r="EC17" s="183"/>
      <c r="ED17" s="183"/>
      <c r="EE17" s="183"/>
      <c r="EF17" s="183"/>
      <c r="EG17" s="183"/>
      <c r="EH17" s="183"/>
      <c r="EI17" s="183"/>
      <c r="EJ17" s="183"/>
      <c r="EK17" s="183"/>
      <c r="EL17" s="183"/>
      <c r="EM17" s="183"/>
      <c r="EN17" s="183"/>
      <c r="EO17" s="183"/>
      <c r="EP17" s="183"/>
      <c r="EQ17" s="183"/>
      <c r="ER17" s="183"/>
      <c r="ES17" s="183"/>
      <c r="ET17" s="183"/>
      <c r="EU17" s="183"/>
      <c r="EV17" s="183"/>
      <c r="EW17" s="183"/>
      <c r="EX17" s="183"/>
      <c r="EY17" s="183"/>
      <c r="EZ17" s="183"/>
      <c r="FA17" s="183"/>
      <c r="FB17" s="183"/>
      <c r="FC17" s="183"/>
      <c r="FD17" s="183"/>
      <c r="FE17" s="183"/>
      <c r="FF17" s="183"/>
      <c r="FG17" s="183"/>
      <c r="FH17" s="183"/>
      <c r="FI17" s="183"/>
      <c r="FJ17" s="183"/>
      <c r="FK17" s="183"/>
      <c r="FL17" s="183"/>
      <c r="FM17" s="183"/>
      <c r="FN17" s="183"/>
      <c r="FO17" s="183"/>
      <c r="FP17" s="183"/>
      <c r="FQ17" s="183"/>
      <c r="FR17" s="183"/>
      <c r="FS17" s="183"/>
      <c r="FT17" s="183"/>
      <c r="FU17" s="183"/>
      <c r="FV17" s="183"/>
      <c r="FW17" s="183"/>
      <c r="FX17" s="183"/>
      <c r="FY17" s="183"/>
      <c r="FZ17" s="183"/>
      <c r="GA17" s="183"/>
      <c r="GB17" s="183"/>
      <c r="GC17" s="183"/>
      <c r="GD17" s="183"/>
      <c r="GE17" s="183"/>
      <c r="GF17" s="183"/>
      <c r="GG17" s="183"/>
      <c r="GH17" s="183"/>
      <c r="GI17" s="183"/>
      <c r="GJ17" s="183"/>
      <c r="GK17" s="183"/>
      <c r="GL17" s="183"/>
      <c r="GM17" s="183"/>
      <c r="GN17" s="183"/>
      <c r="GO17" s="183"/>
      <c r="GP17" s="183"/>
      <c r="GQ17" s="183"/>
      <c r="GR17" s="183"/>
      <c r="GS17" s="183"/>
      <c r="GT17" s="183"/>
      <c r="GU17" s="183"/>
      <c r="GV17" s="183"/>
      <c r="GW17" s="183"/>
      <c r="GX17" s="183"/>
      <c r="GY17" s="183"/>
      <c r="GZ17" s="183"/>
      <c r="HA17" s="183"/>
      <c r="HB17" s="183"/>
      <c r="HC17" s="183"/>
      <c r="HD17" s="183"/>
      <c r="HE17" s="183"/>
      <c r="HF17" s="183"/>
      <c r="HG17" s="183"/>
      <c r="HH17" s="183"/>
      <c r="HI17" s="183"/>
      <c r="HJ17" s="183"/>
      <c r="HK17" s="183"/>
      <c r="HL17" s="183"/>
      <c r="HM17" s="183"/>
      <c r="HN17" s="183"/>
      <c r="HO17" s="183"/>
      <c r="HP17" s="183"/>
      <c r="HQ17" s="183"/>
      <c r="HR17" s="183"/>
      <c r="HS17" s="183"/>
      <c r="HT17" s="183"/>
      <c r="HU17" s="183"/>
      <c r="HV17" s="183"/>
      <c r="HW17" s="183"/>
      <c r="HX17" s="183"/>
      <c r="HY17" s="183"/>
      <c r="HZ17" s="183"/>
      <c r="IA17" s="183"/>
      <c r="IB17" s="183"/>
      <c r="IC17" s="183"/>
      <c r="ID17" s="183"/>
      <c r="IE17" s="183"/>
      <c r="IF17" s="183"/>
      <c r="IG17" s="183"/>
      <c r="IH17" s="183"/>
      <c r="II17" s="183"/>
      <c r="IJ17" s="183"/>
      <c r="IK17" s="183"/>
      <c r="IL17" s="183"/>
      <c r="IM17" s="183"/>
      <c r="IN17" s="183"/>
      <c r="IO17" s="183"/>
      <c r="IP17" s="183"/>
      <c r="IQ17" s="183"/>
      <c r="IR17" s="183"/>
      <c r="IS17" s="183"/>
      <c r="IT17" s="183"/>
      <c r="IU17" s="183"/>
    </row>
    <row r="18" spans="1:255" s="201" customFormat="1" ht="19.5">
      <c r="A18" s="210" t="s">
        <v>162</v>
      </c>
      <c r="B18" s="211" t="s">
        <v>71</v>
      </c>
      <c r="C18" s="209">
        <f>C20+C21</f>
        <v>3484142</v>
      </c>
      <c r="D18" s="209">
        <f>D20+D21</f>
        <v>2308570</v>
      </c>
      <c r="E18" s="209">
        <f t="shared" ref="E18:F18" si="8">E20+E21</f>
        <v>2146212.4</v>
      </c>
      <c r="F18" s="209">
        <f t="shared" si="8"/>
        <v>3451429.75</v>
      </c>
      <c r="G18" s="209">
        <f>G20+G21+G25</f>
        <v>14284423</v>
      </c>
      <c r="H18" s="209">
        <f t="shared" ref="H18:J18" si="9">H20+H21+H25</f>
        <v>9579745</v>
      </c>
      <c r="I18" s="209">
        <f t="shared" si="9"/>
        <v>4704678</v>
      </c>
      <c r="J18" s="209">
        <f t="shared" si="9"/>
        <v>4324531</v>
      </c>
      <c r="K18" s="212"/>
      <c r="L18" s="183">
        <f t="shared" ref="L18:L27" si="10">J18/C18*100</f>
        <v>124.12040037403757</v>
      </c>
      <c r="M18" s="200">
        <f t="shared" si="7"/>
        <v>840389</v>
      </c>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c r="GQ18" s="213"/>
      <c r="GR18" s="213"/>
      <c r="GS18" s="213"/>
      <c r="GT18" s="213"/>
      <c r="GU18" s="213"/>
      <c r="GV18" s="213"/>
      <c r="GW18" s="213"/>
      <c r="GX18" s="213"/>
      <c r="GY18" s="213"/>
      <c r="GZ18" s="213"/>
      <c r="HA18" s="213"/>
      <c r="HB18" s="213"/>
      <c r="HC18" s="213"/>
      <c r="HD18" s="213"/>
      <c r="HE18" s="213"/>
      <c r="HF18" s="213"/>
      <c r="HG18" s="213"/>
      <c r="HH18" s="213"/>
      <c r="HI18" s="213"/>
      <c r="HJ18" s="213"/>
      <c r="HK18" s="213"/>
      <c r="HL18" s="213"/>
      <c r="HM18" s="213"/>
      <c r="HN18" s="213"/>
      <c r="HO18" s="213"/>
      <c r="HP18" s="213"/>
      <c r="HQ18" s="213"/>
      <c r="HR18" s="213"/>
      <c r="HS18" s="213"/>
      <c r="HT18" s="213"/>
      <c r="HU18" s="213"/>
      <c r="HV18" s="213"/>
      <c r="HW18" s="213"/>
      <c r="HX18" s="213"/>
      <c r="HY18" s="213"/>
      <c r="HZ18" s="213"/>
      <c r="IA18" s="213"/>
      <c r="IB18" s="213"/>
      <c r="IC18" s="213"/>
      <c r="ID18" s="213"/>
      <c r="IE18" s="213"/>
      <c r="IF18" s="213"/>
      <c r="IG18" s="213"/>
      <c r="IH18" s="213"/>
      <c r="II18" s="213"/>
      <c r="IJ18" s="213"/>
      <c r="IK18" s="213"/>
      <c r="IL18" s="213"/>
      <c r="IM18" s="213"/>
      <c r="IN18" s="213"/>
      <c r="IO18" s="213"/>
      <c r="IP18" s="183"/>
      <c r="IQ18" s="183"/>
      <c r="IR18" s="183"/>
      <c r="IS18" s="183"/>
      <c r="IT18" s="183"/>
      <c r="IU18" s="183"/>
    </row>
    <row r="19" spans="1:255" ht="19.5">
      <c r="A19" s="202"/>
      <c r="B19" s="214" t="s">
        <v>8</v>
      </c>
      <c r="C19" s="215"/>
      <c r="D19" s="215"/>
      <c r="E19" s="215"/>
      <c r="F19" s="215"/>
      <c r="G19" s="216"/>
      <c r="H19" s="216"/>
      <c r="I19" s="216"/>
      <c r="J19" s="216"/>
      <c r="K19" s="212"/>
      <c r="L19" s="183" t="e">
        <f t="shared" si="10"/>
        <v>#DIV/0!</v>
      </c>
      <c r="M19" s="200">
        <f t="shared" si="7"/>
        <v>0</v>
      </c>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13"/>
      <c r="CY19" s="213"/>
      <c r="CZ19" s="213"/>
      <c r="DA19" s="213"/>
      <c r="DB19" s="213"/>
      <c r="DC19" s="213"/>
      <c r="DD19" s="213"/>
      <c r="DE19" s="213"/>
      <c r="DF19" s="213"/>
      <c r="DG19" s="213"/>
      <c r="DH19" s="213"/>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3"/>
      <c r="FI19" s="213"/>
      <c r="FJ19" s="213"/>
      <c r="FK19" s="213"/>
      <c r="FL19" s="213"/>
      <c r="FM19" s="213"/>
      <c r="FN19" s="213"/>
      <c r="FO19" s="213"/>
      <c r="FP19" s="213"/>
      <c r="FQ19" s="213"/>
      <c r="FR19" s="213"/>
      <c r="FS19" s="213"/>
      <c r="FT19" s="213"/>
      <c r="FU19" s="213"/>
      <c r="FV19" s="213"/>
      <c r="FW19" s="213"/>
      <c r="FX19" s="213"/>
      <c r="FY19" s="213"/>
      <c r="FZ19" s="213"/>
      <c r="GA19" s="213"/>
      <c r="GB19" s="213"/>
      <c r="GC19" s="213"/>
      <c r="GD19" s="213"/>
      <c r="GE19" s="213"/>
      <c r="GF19" s="213"/>
      <c r="GG19" s="213"/>
      <c r="GH19" s="213"/>
      <c r="GI19" s="213"/>
      <c r="GJ19" s="213"/>
      <c r="GK19" s="213"/>
      <c r="GL19" s="213"/>
      <c r="GM19" s="213"/>
      <c r="GN19" s="213"/>
      <c r="GO19" s="213"/>
      <c r="GP19" s="213"/>
      <c r="GQ19" s="213"/>
      <c r="GR19" s="213"/>
      <c r="GS19" s="213"/>
      <c r="GT19" s="213"/>
      <c r="GU19" s="213"/>
      <c r="GV19" s="213"/>
      <c r="GW19" s="213"/>
      <c r="GX19" s="213"/>
      <c r="GY19" s="213"/>
      <c r="GZ19" s="213"/>
      <c r="HA19" s="213"/>
      <c r="HB19" s="213"/>
      <c r="HC19" s="213"/>
      <c r="HD19" s="213"/>
      <c r="HE19" s="213"/>
      <c r="HF19" s="213"/>
      <c r="HG19" s="213"/>
      <c r="HH19" s="213"/>
      <c r="HI19" s="213"/>
      <c r="HJ19" s="213"/>
      <c r="HK19" s="213"/>
      <c r="HL19" s="213"/>
      <c r="HM19" s="213"/>
      <c r="HN19" s="213"/>
      <c r="HO19" s="213"/>
      <c r="HP19" s="213"/>
      <c r="HQ19" s="213"/>
      <c r="HR19" s="213"/>
      <c r="HS19" s="213"/>
      <c r="HT19" s="213"/>
      <c r="HU19" s="213"/>
      <c r="HV19" s="213"/>
      <c r="HW19" s="213"/>
      <c r="HX19" s="213"/>
      <c r="HY19" s="213"/>
      <c r="HZ19" s="213"/>
      <c r="IA19" s="213"/>
      <c r="IB19" s="213"/>
      <c r="IC19" s="213"/>
      <c r="ID19" s="213"/>
      <c r="IE19" s="213"/>
      <c r="IF19" s="213"/>
      <c r="IG19" s="213"/>
      <c r="IH19" s="213"/>
      <c r="II19" s="213"/>
      <c r="IJ19" s="213"/>
      <c r="IK19" s="213"/>
      <c r="IL19" s="213"/>
      <c r="IM19" s="213"/>
      <c r="IN19" s="213"/>
      <c r="IO19" s="213"/>
      <c r="IP19" s="183"/>
      <c r="IQ19" s="183"/>
      <c r="IR19" s="183"/>
      <c r="IS19" s="183"/>
      <c r="IT19" s="183"/>
      <c r="IU19" s="183"/>
    </row>
    <row r="20" spans="1:255" ht="56.25">
      <c r="A20" s="202" t="s">
        <v>54</v>
      </c>
      <c r="B20" s="217" t="s">
        <v>1342</v>
      </c>
      <c r="C20" s="204">
        <f>'B.II TW trong nuoc'!N13</f>
        <v>3127360</v>
      </c>
      <c r="D20" s="204">
        <f>'B.II TW trong nuoc'!O13</f>
        <v>2145294</v>
      </c>
      <c r="E20" s="204">
        <f>'B.II TW trong nuoc'!P13</f>
        <v>1896465</v>
      </c>
      <c r="F20" s="204">
        <f>'B.II TW trong nuoc'!T13</f>
        <v>3095029.75</v>
      </c>
      <c r="G20" s="204">
        <f>6431550+4928000</f>
        <v>11359550</v>
      </c>
      <c r="H20" s="204">
        <v>6958936</v>
      </c>
      <c r="I20" s="204">
        <f>G20-H20</f>
        <v>4400614</v>
      </c>
      <c r="J20" s="204">
        <f>'B.II TW trong nuoc'!X13</f>
        <v>4020467</v>
      </c>
      <c r="K20" s="218" t="s">
        <v>1344</v>
      </c>
      <c r="L20" s="183">
        <f t="shared" si="10"/>
        <v>128.55785710631332</v>
      </c>
      <c r="M20" s="200">
        <f t="shared" si="7"/>
        <v>893107</v>
      </c>
    </row>
    <row r="21" spans="1:255">
      <c r="A21" s="202" t="s">
        <v>54</v>
      </c>
      <c r="B21" s="217" t="s">
        <v>1343</v>
      </c>
      <c r="C21" s="178">
        <f>SUM(C22:C24)</f>
        <v>356782</v>
      </c>
      <c r="D21" s="178">
        <f t="shared" ref="D21:J21" si="11">SUM(D22:D24)</f>
        <v>163276</v>
      </c>
      <c r="E21" s="178">
        <f t="shared" si="11"/>
        <v>249747.4</v>
      </c>
      <c r="F21" s="178">
        <f t="shared" si="11"/>
        <v>356400</v>
      </c>
      <c r="G21" s="178">
        <f t="shared" si="11"/>
        <v>1328873</v>
      </c>
      <c r="H21" s="178">
        <f t="shared" si="11"/>
        <v>1024809</v>
      </c>
      <c r="I21" s="178">
        <f t="shared" si="11"/>
        <v>304064</v>
      </c>
      <c r="J21" s="178">
        <f t="shared" si="11"/>
        <v>304064</v>
      </c>
      <c r="K21" s="218"/>
      <c r="L21" s="183">
        <f t="shared" si="10"/>
        <v>85.224030360276032</v>
      </c>
      <c r="M21" s="200">
        <f t="shared" si="7"/>
        <v>-52718</v>
      </c>
    </row>
    <row r="22" spans="1:255" ht="44.45" customHeight="1">
      <c r="A22" s="202"/>
      <c r="B22" s="214" t="s">
        <v>117</v>
      </c>
      <c r="C22" s="219">
        <v>214825</v>
      </c>
      <c r="D22" s="215">
        <v>103931</v>
      </c>
      <c r="E22" s="215">
        <f>C22*0.7</f>
        <v>150377.5</v>
      </c>
      <c r="F22" s="215">
        <v>214800</v>
      </c>
      <c r="G22" s="220">
        <v>821680</v>
      </c>
      <c r="H22" s="220">
        <f>391920+214825</f>
        <v>606745</v>
      </c>
      <c r="I22" s="215">
        <f>G22-H22</f>
        <v>214935</v>
      </c>
      <c r="J22" s="215">
        <f>I22</f>
        <v>214935</v>
      </c>
      <c r="K22" s="212"/>
      <c r="L22" s="183">
        <f t="shared" si="10"/>
        <v>100.05120446875364</v>
      </c>
      <c r="M22" s="200">
        <f t="shared" si="7"/>
        <v>110</v>
      </c>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183"/>
      <c r="IQ22" s="183"/>
      <c r="IR22" s="183"/>
      <c r="IS22" s="183"/>
      <c r="IT22" s="183"/>
      <c r="IU22" s="183"/>
    </row>
    <row r="23" spans="1:255" ht="44.45" customHeight="1">
      <c r="A23" s="202"/>
      <c r="B23" s="214" t="s">
        <v>116</v>
      </c>
      <c r="C23" s="219">
        <v>95317</v>
      </c>
      <c r="D23" s="215">
        <v>53317</v>
      </c>
      <c r="E23" s="215">
        <f t="shared" ref="E23:E24" si="12">C23*0.7</f>
        <v>66721.899999999994</v>
      </c>
      <c r="F23" s="215">
        <v>95000</v>
      </c>
      <c r="G23" s="220">
        <v>339286</v>
      </c>
      <c r="H23" s="220">
        <f>197135+95317</f>
        <v>292452</v>
      </c>
      <c r="I23" s="215">
        <f t="shared" ref="I23:I24" si="13">G23-H23</f>
        <v>46834</v>
      </c>
      <c r="J23" s="215">
        <f>I23</f>
        <v>46834</v>
      </c>
      <c r="K23" s="212"/>
      <c r="L23" s="183">
        <f t="shared" si="10"/>
        <v>49.134991659410176</v>
      </c>
      <c r="M23" s="200">
        <f t="shared" si="7"/>
        <v>-48483</v>
      </c>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183"/>
      <c r="IQ23" s="183"/>
      <c r="IR23" s="183"/>
      <c r="IS23" s="183"/>
      <c r="IT23" s="183"/>
      <c r="IU23" s="183"/>
    </row>
    <row r="24" spans="1:255" ht="44.45" customHeight="1">
      <c r="A24" s="202"/>
      <c r="B24" s="214" t="s">
        <v>1346</v>
      </c>
      <c r="C24" s="219">
        <v>46640</v>
      </c>
      <c r="D24" s="215">
        <v>6028</v>
      </c>
      <c r="E24" s="215">
        <f t="shared" si="12"/>
        <v>32647.999999999996</v>
      </c>
      <c r="F24" s="215">
        <v>46600</v>
      </c>
      <c r="G24" s="220">
        <v>167907</v>
      </c>
      <c r="H24" s="220">
        <f>78972+46640</f>
        <v>125612</v>
      </c>
      <c r="I24" s="215">
        <f t="shared" si="13"/>
        <v>42295</v>
      </c>
      <c r="J24" s="215">
        <f>I24</f>
        <v>42295</v>
      </c>
      <c r="K24" s="212"/>
      <c r="L24" s="183">
        <f t="shared" si="10"/>
        <v>90.683962264150935</v>
      </c>
      <c r="M24" s="200">
        <f t="shared" si="7"/>
        <v>-4345</v>
      </c>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183"/>
      <c r="IQ24" s="183"/>
      <c r="IR24" s="183"/>
      <c r="IS24" s="183"/>
      <c r="IT24" s="183"/>
      <c r="IU24" s="183"/>
    </row>
    <row r="25" spans="1:255" ht="44.45" customHeight="1">
      <c r="A25" s="210" t="s">
        <v>54</v>
      </c>
      <c r="B25" s="217" t="s">
        <v>1349</v>
      </c>
      <c r="C25" s="219"/>
      <c r="D25" s="204"/>
      <c r="E25" s="204"/>
      <c r="F25" s="204"/>
      <c r="G25" s="220">
        <v>1596000</v>
      </c>
      <c r="H25" s="220">
        <v>1596000</v>
      </c>
      <c r="I25" s="204"/>
      <c r="J25" s="204"/>
      <c r="K25" s="194"/>
      <c r="L25" s="183" t="e">
        <f t="shared" si="10"/>
        <v>#DIV/0!</v>
      </c>
      <c r="M25" s="200">
        <f t="shared" si="7"/>
        <v>0</v>
      </c>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c r="BZ25" s="183"/>
      <c r="CA25" s="183"/>
      <c r="CB25" s="183"/>
      <c r="CC25" s="183"/>
      <c r="CD25" s="183"/>
      <c r="CE25" s="183"/>
      <c r="CF25" s="183"/>
      <c r="CG25" s="183"/>
      <c r="CH25" s="183"/>
      <c r="CI25" s="183"/>
      <c r="CJ25" s="183"/>
      <c r="CK25" s="183"/>
      <c r="CL25" s="183"/>
      <c r="CM25" s="183"/>
      <c r="CN25" s="183"/>
      <c r="CO25" s="183"/>
      <c r="CP25" s="183"/>
      <c r="CQ25" s="183"/>
      <c r="CR25" s="183"/>
      <c r="CS25" s="183"/>
      <c r="CT25" s="183"/>
      <c r="CU25" s="183"/>
      <c r="CV25" s="183"/>
      <c r="CW25" s="183"/>
      <c r="CX25" s="183"/>
      <c r="CY25" s="183"/>
      <c r="CZ25" s="183"/>
      <c r="DA25" s="183"/>
      <c r="DB25" s="183"/>
      <c r="DC25" s="183"/>
      <c r="DD25" s="183"/>
      <c r="DE25" s="183"/>
      <c r="DF25" s="183"/>
      <c r="DG25" s="183"/>
      <c r="DH25" s="183"/>
      <c r="DI25" s="183"/>
      <c r="DJ25" s="183"/>
      <c r="DK25" s="183"/>
      <c r="DL25" s="183"/>
      <c r="DM25" s="183"/>
      <c r="DN25" s="183"/>
      <c r="DO25" s="183"/>
      <c r="DP25" s="183"/>
      <c r="DQ25" s="183"/>
      <c r="DR25" s="183"/>
      <c r="DS25" s="183"/>
      <c r="DT25" s="183"/>
      <c r="DU25" s="183"/>
      <c r="DV25" s="183"/>
      <c r="DW25" s="183"/>
      <c r="DX25" s="183"/>
      <c r="DY25" s="183"/>
      <c r="DZ25" s="183"/>
      <c r="EA25" s="183"/>
      <c r="EB25" s="183"/>
      <c r="EC25" s="183"/>
      <c r="ED25" s="183"/>
      <c r="EE25" s="183"/>
      <c r="EF25" s="183"/>
      <c r="EG25" s="183"/>
      <c r="EH25" s="183"/>
      <c r="EI25" s="183"/>
      <c r="EJ25" s="183"/>
      <c r="EK25" s="183"/>
      <c r="EL25" s="183"/>
      <c r="EM25" s="183"/>
      <c r="EN25" s="183"/>
      <c r="EO25" s="183"/>
      <c r="EP25" s="183"/>
      <c r="EQ25" s="183"/>
      <c r="ER25" s="183"/>
      <c r="ES25" s="183"/>
      <c r="ET25" s="183"/>
      <c r="EU25" s="183"/>
      <c r="EV25" s="183"/>
      <c r="EW25" s="183"/>
      <c r="EX25" s="183"/>
      <c r="EY25" s="183"/>
      <c r="EZ25" s="183"/>
      <c r="FA25" s="183"/>
      <c r="FB25" s="183"/>
      <c r="FC25" s="183"/>
      <c r="FD25" s="183"/>
      <c r="FE25" s="183"/>
      <c r="FF25" s="183"/>
      <c r="FG25" s="183"/>
      <c r="FH25" s="183"/>
      <c r="FI25" s="183"/>
      <c r="FJ25" s="183"/>
      <c r="FK25" s="183"/>
      <c r="FL25" s="183"/>
      <c r="FM25" s="183"/>
      <c r="FN25" s="183"/>
      <c r="FO25" s="183"/>
      <c r="FP25" s="183"/>
      <c r="FQ25" s="183"/>
      <c r="FR25" s="183"/>
      <c r="FS25" s="183"/>
      <c r="FT25" s="183"/>
      <c r="FU25" s="183"/>
      <c r="FV25" s="183"/>
      <c r="FW25" s="183"/>
      <c r="FX25" s="183"/>
      <c r="FY25" s="183"/>
      <c r="FZ25" s="183"/>
      <c r="GA25" s="183"/>
      <c r="GB25" s="183"/>
      <c r="GC25" s="183"/>
      <c r="GD25" s="183"/>
      <c r="GE25" s="183"/>
      <c r="GF25" s="183"/>
      <c r="GG25" s="183"/>
      <c r="GH25" s="183"/>
      <c r="GI25" s="183"/>
      <c r="GJ25" s="183"/>
      <c r="GK25" s="183"/>
      <c r="GL25" s="183"/>
      <c r="GM25" s="183"/>
      <c r="GN25" s="183"/>
      <c r="GO25" s="183"/>
      <c r="GP25" s="183"/>
      <c r="GQ25" s="183"/>
      <c r="GR25" s="183"/>
      <c r="GS25" s="183"/>
      <c r="GT25" s="183"/>
      <c r="GU25" s="183"/>
      <c r="GV25" s="183"/>
      <c r="GW25" s="183"/>
      <c r="GX25" s="183"/>
      <c r="GY25" s="183"/>
      <c r="GZ25" s="183"/>
      <c r="HA25" s="183"/>
      <c r="HB25" s="183"/>
      <c r="HC25" s="183"/>
      <c r="HD25" s="183"/>
      <c r="HE25" s="183"/>
      <c r="HF25" s="183"/>
      <c r="HG25" s="183"/>
      <c r="HH25" s="183"/>
      <c r="HI25" s="183"/>
      <c r="HJ25" s="183"/>
      <c r="HK25" s="183"/>
      <c r="HL25" s="183"/>
      <c r="HM25" s="183"/>
      <c r="HN25" s="183"/>
      <c r="HO25" s="183"/>
      <c r="HP25" s="183"/>
      <c r="HQ25" s="183"/>
      <c r="HR25" s="183"/>
      <c r="HS25" s="183"/>
      <c r="HT25" s="183"/>
      <c r="HU25" s="183"/>
      <c r="HV25" s="183"/>
      <c r="HW25" s="183"/>
      <c r="HX25" s="183"/>
      <c r="HY25" s="183"/>
      <c r="HZ25" s="183"/>
      <c r="IA25" s="183"/>
      <c r="IB25" s="183"/>
      <c r="IC25" s="183"/>
      <c r="ID25" s="183"/>
      <c r="IE25" s="183"/>
      <c r="IF25" s="183"/>
      <c r="IG25" s="183"/>
      <c r="IH25" s="183"/>
      <c r="II25" s="183"/>
      <c r="IJ25" s="183"/>
      <c r="IK25" s="183"/>
      <c r="IL25" s="183"/>
      <c r="IM25" s="183"/>
      <c r="IN25" s="183"/>
      <c r="IO25" s="183"/>
      <c r="IP25" s="183"/>
      <c r="IQ25" s="183"/>
      <c r="IR25" s="183"/>
      <c r="IS25" s="183"/>
      <c r="IT25" s="183"/>
      <c r="IU25" s="183"/>
    </row>
    <row r="26" spans="1:255" s="201" customFormat="1">
      <c r="A26" s="210" t="s">
        <v>163</v>
      </c>
      <c r="B26" s="208" t="s">
        <v>1348</v>
      </c>
      <c r="C26" s="209">
        <f>'B.III ODA'!AA14</f>
        <v>202150</v>
      </c>
      <c r="D26" s="209">
        <f>'B.III ODA'!AH14</f>
        <v>0</v>
      </c>
      <c r="E26" s="209">
        <f>'B.III ODA'!AO14</f>
        <v>57603</v>
      </c>
      <c r="F26" s="209">
        <f>'B.III ODA'!AV14</f>
        <v>67972</v>
      </c>
      <c r="G26" s="209">
        <v>1190504</v>
      </c>
      <c r="H26" s="209">
        <v>996324</v>
      </c>
      <c r="I26" s="209">
        <f>J26</f>
        <v>194180</v>
      </c>
      <c r="J26" s="209">
        <f>'B.III ODA'!BJ14</f>
        <v>194180</v>
      </c>
      <c r="K26" s="194"/>
      <c r="L26" s="183">
        <f t="shared" si="10"/>
        <v>96.057383131338113</v>
      </c>
      <c r="M26" s="200">
        <f t="shared" si="7"/>
        <v>-7970</v>
      </c>
      <c r="N26" s="200">
        <f>G26-J26</f>
        <v>996324</v>
      </c>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c r="CE26" s="183"/>
      <c r="CF26" s="183"/>
      <c r="CG26" s="183"/>
      <c r="CH26" s="183"/>
      <c r="CI26" s="183"/>
      <c r="CJ26" s="183"/>
      <c r="CK26" s="183"/>
      <c r="CL26" s="183"/>
      <c r="CM26" s="183"/>
      <c r="CN26" s="183"/>
      <c r="CO26" s="183"/>
      <c r="CP26" s="183"/>
      <c r="CQ26" s="183"/>
      <c r="CR26" s="183"/>
      <c r="CS26" s="183"/>
      <c r="CT26" s="183"/>
      <c r="CU26" s="183"/>
      <c r="CV26" s="183"/>
      <c r="CW26" s="183"/>
      <c r="CX26" s="183"/>
      <c r="CY26" s="183"/>
      <c r="CZ26" s="183"/>
      <c r="DA26" s="183"/>
      <c r="DB26" s="183"/>
      <c r="DC26" s="183"/>
      <c r="DD26" s="183"/>
      <c r="DE26" s="183"/>
      <c r="DF26" s="183"/>
      <c r="DG26" s="183"/>
      <c r="DH26" s="183"/>
      <c r="DI26" s="183"/>
      <c r="DJ26" s="183"/>
      <c r="DK26" s="183"/>
      <c r="DL26" s="183"/>
      <c r="DM26" s="183"/>
      <c r="DN26" s="183"/>
      <c r="DO26" s="183"/>
      <c r="DP26" s="183"/>
      <c r="DQ26" s="183"/>
      <c r="DR26" s="183"/>
      <c r="DS26" s="183"/>
      <c r="DT26" s="183"/>
      <c r="DU26" s="183"/>
      <c r="DV26" s="183"/>
      <c r="DW26" s="183"/>
      <c r="DX26" s="183"/>
      <c r="DY26" s="183"/>
      <c r="DZ26" s="183"/>
      <c r="EA26" s="183"/>
      <c r="EB26" s="183"/>
      <c r="EC26" s="183"/>
      <c r="ED26" s="183"/>
      <c r="EE26" s="183"/>
      <c r="EF26" s="183"/>
      <c r="EG26" s="183"/>
      <c r="EH26" s="183"/>
      <c r="EI26" s="183"/>
      <c r="EJ26" s="183"/>
      <c r="EK26" s="183"/>
      <c r="EL26" s="183"/>
      <c r="EM26" s="183"/>
      <c r="EN26" s="183"/>
      <c r="EO26" s="183"/>
      <c r="EP26" s="183"/>
      <c r="EQ26" s="183"/>
      <c r="ER26" s="183"/>
      <c r="ES26" s="183"/>
      <c r="ET26" s="183"/>
      <c r="EU26" s="183"/>
      <c r="EV26" s="183"/>
      <c r="EW26" s="183"/>
      <c r="EX26" s="183"/>
      <c r="EY26" s="183"/>
      <c r="EZ26" s="183"/>
      <c r="FA26" s="183"/>
      <c r="FB26" s="183"/>
      <c r="FC26" s="183"/>
      <c r="FD26" s="183"/>
      <c r="FE26" s="183"/>
      <c r="FF26" s="183"/>
      <c r="FG26" s="183"/>
      <c r="FH26" s="183"/>
      <c r="FI26" s="183"/>
      <c r="FJ26" s="183"/>
      <c r="FK26" s="183"/>
      <c r="FL26" s="183"/>
      <c r="FM26" s="183"/>
      <c r="FN26" s="183"/>
      <c r="FO26" s="183"/>
      <c r="FP26" s="183"/>
      <c r="FQ26" s="183"/>
      <c r="FR26" s="183"/>
      <c r="FS26" s="183"/>
      <c r="FT26" s="183"/>
      <c r="FU26" s="183"/>
      <c r="FV26" s="183"/>
      <c r="FW26" s="183"/>
      <c r="FX26" s="183"/>
      <c r="FY26" s="183"/>
      <c r="FZ26" s="183"/>
      <c r="GA26" s="183"/>
      <c r="GB26" s="183"/>
      <c r="GC26" s="183"/>
      <c r="GD26" s="183"/>
      <c r="GE26" s="183"/>
      <c r="GF26" s="183"/>
      <c r="GG26" s="183"/>
      <c r="GH26" s="183"/>
      <c r="GI26" s="183"/>
      <c r="GJ26" s="183"/>
      <c r="GK26" s="183"/>
      <c r="GL26" s="183"/>
      <c r="GM26" s="183"/>
      <c r="GN26" s="183"/>
      <c r="GO26" s="183"/>
      <c r="GP26" s="183"/>
      <c r="GQ26" s="183"/>
      <c r="GR26" s="183"/>
      <c r="GS26" s="183"/>
      <c r="GT26" s="183"/>
      <c r="GU26" s="183"/>
      <c r="GV26" s="183"/>
      <c r="GW26" s="183"/>
      <c r="GX26" s="183"/>
      <c r="GY26" s="183"/>
      <c r="GZ26" s="183"/>
      <c r="HA26" s="183"/>
      <c r="HB26" s="183"/>
      <c r="HC26" s="183"/>
      <c r="HD26" s="183"/>
      <c r="HE26" s="183"/>
      <c r="HF26" s="183"/>
      <c r="HG26" s="183"/>
      <c r="HH26" s="183"/>
      <c r="HI26" s="183"/>
      <c r="HJ26" s="183"/>
      <c r="HK26" s="183"/>
      <c r="HL26" s="183"/>
      <c r="HM26" s="183"/>
      <c r="HN26" s="183"/>
      <c r="HO26" s="183"/>
      <c r="HP26" s="183"/>
      <c r="HQ26" s="183"/>
      <c r="HR26" s="183"/>
      <c r="HS26" s="183"/>
      <c r="HT26" s="183"/>
      <c r="HU26" s="183"/>
      <c r="HV26" s="183"/>
      <c r="HW26" s="183"/>
      <c r="HX26" s="183"/>
      <c r="HY26" s="183"/>
      <c r="HZ26" s="183"/>
      <c r="IA26" s="183"/>
      <c r="IB26" s="183"/>
      <c r="IC26" s="183"/>
      <c r="ID26" s="183"/>
      <c r="IE26" s="183"/>
      <c r="IF26" s="183"/>
      <c r="IG26" s="183"/>
      <c r="IH26" s="183"/>
      <c r="II26" s="183"/>
      <c r="IJ26" s="183"/>
      <c r="IK26" s="183"/>
      <c r="IL26" s="183"/>
      <c r="IM26" s="183"/>
      <c r="IN26" s="183"/>
      <c r="IO26" s="183"/>
      <c r="IP26" s="183"/>
      <c r="IQ26" s="183"/>
      <c r="IR26" s="183"/>
      <c r="IS26" s="183"/>
      <c r="IT26" s="183"/>
      <c r="IU26" s="183"/>
    </row>
    <row r="27" spans="1:255" ht="54.6" customHeight="1">
      <c r="A27" s="221" t="s">
        <v>43</v>
      </c>
      <c r="B27" s="222" t="s">
        <v>98</v>
      </c>
      <c r="C27" s="223"/>
      <c r="D27" s="223"/>
      <c r="E27" s="223"/>
      <c r="F27" s="223"/>
      <c r="G27" s="223"/>
      <c r="H27" s="223"/>
      <c r="I27" s="223"/>
      <c r="J27" s="223"/>
      <c r="K27" s="224"/>
      <c r="L27" s="183" t="e">
        <f t="shared" si="10"/>
        <v>#DIV/0!</v>
      </c>
      <c r="M27" s="200">
        <f t="shared" si="7"/>
        <v>0</v>
      </c>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c r="CE27" s="183"/>
      <c r="CF27" s="183"/>
      <c r="CG27" s="183"/>
      <c r="CH27" s="183"/>
      <c r="CI27" s="183"/>
      <c r="CJ27" s="183"/>
      <c r="CK27" s="183"/>
      <c r="CL27" s="183"/>
      <c r="CM27" s="183"/>
      <c r="CN27" s="183"/>
      <c r="CO27" s="183"/>
      <c r="CP27" s="183"/>
      <c r="CQ27" s="183"/>
      <c r="CR27" s="183"/>
      <c r="CS27" s="183"/>
      <c r="CT27" s="183"/>
      <c r="CU27" s="183"/>
      <c r="CV27" s="183"/>
      <c r="CW27" s="183"/>
      <c r="CX27" s="183"/>
      <c r="CY27" s="183"/>
      <c r="CZ27" s="183"/>
      <c r="DA27" s="183"/>
      <c r="DB27" s="183"/>
      <c r="DC27" s="183"/>
      <c r="DD27" s="183"/>
      <c r="DE27" s="183"/>
      <c r="DF27" s="183"/>
      <c r="DG27" s="183"/>
      <c r="DH27" s="183"/>
      <c r="DI27" s="183"/>
      <c r="DJ27" s="183"/>
      <c r="DK27" s="183"/>
      <c r="DL27" s="183"/>
      <c r="DM27" s="183"/>
      <c r="DN27" s="183"/>
      <c r="DO27" s="183"/>
      <c r="DP27" s="183"/>
      <c r="DQ27" s="183"/>
      <c r="DR27" s="183"/>
      <c r="DS27" s="183"/>
      <c r="DT27" s="183"/>
      <c r="DU27" s="183"/>
      <c r="DV27" s="183"/>
      <c r="DW27" s="183"/>
      <c r="DX27" s="183"/>
      <c r="DY27" s="183"/>
      <c r="DZ27" s="183"/>
      <c r="EA27" s="183"/>
      <c r="EB27" s="183"/>
      <c r="EC27" s="183"/>
      <c r="ED27" s="183"/>
      <c r="EE27" s="183"/>
      <c r="EF27" s="183"/>
      <c r="EG27" s="183"/>
      <c r="EH27" s="183"/>
      <c r="EI27" s="183"/>
      <c r="EJ27" s="183"/>
      <c r="EK27" s="183"/>
      <c r="EL27" s="183"/>
      <c r="EM27" s="183"/>
      <c r="EN27" s="183"/>
      <c r="EO27" s="183"/>
      <c r="EP27" s="183"/>
      <c r="EQ27" s="183"/>
      <c r="ER27" s="183"/>
      <c r="ES27" s="183"/>
      <c r="ET27" s="183"/>
      <c r="EU27" s="183"/>
      <c r="EV27" s="183"/>
      <c r="EW27" s="183"/>
      <c r="EX27" s="183"/>
      <c r="EY27" s="183"/>
      <c r="EZ27" s="183"/>
      <c r="FA27" s="183"/>
      <c r="FB27" s="183"/>
      <c r="FC27" s="183"/>
      <c r="FD27" s="183"/>
      <c r="FE27" s="183"/>
      <c r="FF27" s="183"/>
      <c r="FG27" s="183"/>
      <c r="FH27" s="183"/>
      <c r="FI27" s="183"/>
      <c r="FJ27" s="183"/>
      <c r="FK27" s="183"/>
      <c r="FL27" s="183"/>
      <c r="FM27" s="183"/>
      <c r="FN27" s="183"/>
      <c r="FO27" s="183"/>
      <c r="FP27" s="183"/>
      <c r="FQ27" s="183"/>
      <c r="FR27" s="183"/>
      <c r="FS27" s="183"/>
      <c r="FT27" s="183"/>
      <c r="FU27" s="183"/>
      <c r="FV27" s="183"/>
      <c r="FW27" s="183"/>
      <c r="FX27" s="183"/>
      <c r="FY27" s="183"/>
      <c r="FZ27" s="183"/>
      <c r="GA27" s="183"/>
      <c r="GB27" s="183"/>
      <c r="GC27" s="183"/>
      <c r="GD27" s="183"/>
      <c r="GE27" s="183"/>
      <c r="GF27" s="183"/>
      <c r="GG27" s="183"/>
      <c r="GH27" s="183"/>
      <c r="GI27" s="183"/>
      <c r="GJ27" s="183"/>
      <c r="GK27" s="183"/>
      <c r="GL27" s="183"/>
      <c r="GM27" s="183"/>
      <c r="GN27" s="183"/>
      <c r="GO27" s="183"/>
      <c r="GP27" s="183"/>
      <c r="GQ27" s="183"/>
      <c r="GR27" s="183"/>
      <c r="GS27" s="183"/>
      <c r="GT27" s="183"/>
      <c r="GU27" s="183"/>
      <c r="GV27" s="183"/>
      <c r="GW27" s="183"/>
      <c r="GX27" s="183"/>
      <c r="GY27" s="183"/>
      <c r="GZ27" s="183"/>
      <c r="HA27" s="183"/>
      <c r="HB27" s="183"/>
      <c r="HC27" s="183"/>
      <c r="HD27" s="183"/>
      <c r="HE27" s="183"/>
      <c r="HF27" s="183"/>
      <c r="HG27" s="183"/>
      <c r="HH27" s="183"/>
      <c r="HI27" s="183"/>
      <c r="HJ27" s="183"/>
      <c r="HK27" s="183"/>
      <c r="HL27" s="183"/>
      <c r="HM27" s="183"/>
      <c r="HN27" s="183"/>
      <c r="HO27" s="183"/>
      <c r="HP27" s="183"/>
      <c r="HQ27" s="183"/>
      <c r="HR27" s="183"/>
      <c r="HS27" s="183"/>
      <c r="HT27" s="183"/>
      <c r="HU27" s="183"/>
      <c r="HV27" s="183"/>
      <c r="HW27" s="183"/>
      <c r="HX27" s="183"/>
      <c r="HY27" s="183"/>
      <c r="HZ27" s="183"/>
      <c r="IA27" s="183"/>
      <c r="IB27" s="183"/>
      <c r="IC27" s="183"/>
      <c r="ID27" s="183"/>
      <c r="IE27" s="183"/>
      <c r="IF27" s="183"/>
      <c r="IG27" s="183"/>
      <c r="IH27" s="183"/>
      <c r="II27" s="183"/>
      <c r="IJ27" s="183"/>
      <c r="IK27" s="183"/>
      <c r="IL27" s="183"/>
      <c r="IM27" s="183"/>
      <c r="IN27" s="183"/>
      <c r="IO27" s="183"/>
      <c r="IP27" s="183"/>
      <c r="IQ27" s="183"/>
      <c r="IR27" s="183"/>
      <c r="IS27" s="183"/>
      <c r="IT27" s="183"/>
      <c r="IU27" s="183"/>
    </row>
  </sheetData>
  <mergeCells count="13">
    <mergeCell ref="A1:K1"/>
    <mergeCell ref="A3:K3"/>
    <mergeCell ref="C5:F5"/>
    <mergeCell ref="K5:K6"/>
    <mergeCell ref="L5:M5"/>
    <mergeCell ref="A2:K2"/>
    <mergeCell ref="A4:K4"/>
    <mergeCell ref="A5:A6"/>
    <mergeCell ref="B5:B6"/>
    <mergeCell ref="G5:G6"/>
    <mergeCell ref="I5:I6"/>
    <mergeCell ref="J5:J6"/>
    <mergeCell ref="H5:H6"/>
  </mergeCells>
  <printOptions horizontalCentered="1"/>
  <pageMargins left="0" right="0" top="0.28000000000000003" bottom="0.27" header="0.2" footer="0.22"/>
  <pageSetup paperSize="9"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365"/>
  <sheetViews>
    <sheetView topLeftCell="A2" zoomScale="55" zoomScaleNormal="55" zoomScalePageLayoutView="55" workbookViewId="0">
      <pane xSplit="2" ySplit="10" topLeftCell="C12" activePane="bottomRight" state="frozen"/>
      <selection activeCell="A2" sqref="A2"/>
      <selection pane="topRight" activeCell="C2" sqref="C2"/>
      <selection pane="bottomLeft" activeCell="A12" sqref="A12"/>
      <selection pane="bottomRight" activeCell="M8" sqref="M8:M10"/>
    </sheetView>
  </sheetViews>
  <sheetFormatPr defaultColWidth="9.140625" defaultRowHeight="18.75"/>
  <cols>
    <col min="1" max="1" width="5.140625" style="272" customWidth="1"/>
    <col min="2" max="2" width="28.28515625" style="273" customWidth="1"/>
    <col min="3" max="5" width="9.85546875" style="274" customWidth="1"/>
    <col min="6" max="6" width="18.7109375" style="274" customWidth="1"/>
    <col min="7" max="8" width="15.28515625" style="179" customWidth="1"/>
    <col min="9" max="9" width="16.42578125" style="179" customWidth="1"/>
    <col min="10" max="10" width="14.7109375" style="179" customWidth="1"/>
    <col min="11" max="13" width="13.7109375" style="179" customWidth="1"/>
    <col min="14" max="14" width="15.7109375" style="179" customWidth="1"/>
    <col min="15" max="25" width="13.7109375" style="179" customWidth="1"/>
    <col min="26" max="26" width="9.85546875" style="179" customWidth="1"/>
    <col min="27" max="27" width="16.85546875" style="179" customWidth="1"/>
    <col min="28" max="28" width="20.28515625" style="230" customWidth="1"/>
    <col min="29" max="29" width="9.140625" style="230"/>
    <col min="30" max="30" width="10.85546875" style="230" bestFit="1" customWidth="1"/>
    <col min="31" max="31" width="11.7109375" style="230" bestFit="1" customWidth="1"/>
    <col min="32" max="16384" width="9.140625" style="230"/>
  </cols>
  <sheetData>
    <row r="1" spans="1:31" s="229" customFormat="1" ht="32.25" hidden="1" customHeight="1">
      <c r="A1" s="225"/>
      <c r="B1" s="226"/>
      <c r="C1" s="226"/>
      <c r="D1" s="226"/>
      <c r="E1" s="226"/>
      <c r="F1" s="226"/>
      <c r="G1" s="226"/>
      <c r="H1" s="227"/>
      <c r="I1" s="228"/>
      <c r="J1" s="228"/>
      <c r="K1" s="228"/>
      <c r="L1" s="228"/>
      <c r="M1" s="227"/>
      <c r="N1" s="227"/>
      <c r="O1" s="227"/>
      <c r="P1" s="227"/>
      <c r="Q1" s="227"/>
      <c r="R1" s="227"/>
      <c r="S1" s="227"/>
      <c r="T1" s="227"/>
      <c r="U1" s="226"/>
      <c r="V1" s="228"/>
      <c r="W1" s="228"/>
      <c r="X1" s="228"/>
      <c r="Y1" s="228"/>
      <c r="Z1" s="228"/>
      <c r="AA1" s="179" t="s">
        <v>27</v>
      </c>
    </row>
    <row r="2" spans="1:31" s="229" customFormat="1" ht="33">
      <c r="A2" s="463" t="s">
        <v>1361</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row>
    <row r="3" spans="1:31" ht="67.5" customHeight="1">
      <c r="A3" s="464" t="s">
        <v>1362</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row>
    <row r="4" spans="1:31" ht="33">
      <c r="A4" s="465" t="str">
        <f>+'B.I THDP'!A3:K3</f>
        <v>(Kèm theo Công văn số 1080/UBND-KTTH ngày   08  tháng  8  năm 2024 của Ủy ban nhân dân tỉnh An Giang)</v>
      </c>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row>
    <row r="5" spans="1:31" s="231" customFormat="1" ht="19.5">
      <c r="A5" s="460" t="s">
        <v>1</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row>
    <row r="6" spans="1:31" s="232" customFormat="1" ht="29.25" customHeight="1">
      <c r="A6" s="461" t="s">
        <v>28</v>
      </c>
      <c r="B6" s="462" t="s">
        <v>10</v>
      </c>
      <c r="C6" s="462" t="s">
        <v>29</v>
      </c>
      <c r="D6" s="462" t="s">
        <v>30</v>
      </c>
      <c r="E6" s="462" t="s">
        <v>31</v>
      </c>
      <c r="F6" s="462" t="s">
        <v>32</v>
      </c>
      <c r="G6" s="462"/>
      <c r="H6" s="462"/>
      <c r="I6" s="462" t="s">
        <v>96</v>
      </c>
      <c r="J6" s="467"/>
      <c r="K6" s="467"/>
      <c r="L6" s="467"/>
      <c r="M6" s="462" t="s">
        <v>100</v>
      </c>
      <c r="N6" s="462"/>
      <c r="O6" s="462"/>
      <c r="P6" s="462"/>
      <c r="Q6" s="462"/>
      <c r="R6" s="462"/>
      <c r="S6" s="462"/>
      <c r="T6" s="462"/>
      <c r="U6" s="462" t="s">
        <v>106</v>
      </c>
      <c r="V6" s="462"/>
      <c r="W6" s="462" t="s">
        <v>107</v>
      </c>
      <c r="X6" s="467"/>
      <c r="Y6" s="467"/>
      <c r="Z6" s="467"/>
      <c r="AA6" s="462" t="s">
        <v>592</v>
      </c>
      <c r="AB6" s="469" t="s">
        <v>33</v>
      </c>
    </row>
    <row r="7" spans="1:31" s="232" customFormat="1" ht="61.5" customHeight="1">
      <c r="A7" s="461"/>
      <c r="B7" s="462"/>
      <c r="C7" s="462"/>
      <c r="D7" s="462"/>
      <c r="E7" s="462"/>
      <c r="F7" s="462" t="s">
        <v>15</v>
      </c>
      <c r="G7" s="462" t="s">
        <v>35</v>
      </c>
      <c r="H7" s="462"/>
      <c r="I7" s="467"/>
      <c r="J7" s="467"/>
      <c r="K7" s="467"/>
      <c r="L7" s="467"/>
      <c r="M7" s="462" t="s">
        <v>21</v>
      </c>
      <c r="N7" s="462"/>
      <c r="O7" s="462" t="s">
        <v>101</v>
      </c>
      <c r="P7" s="462"/>
      <c r="Q7" s="462" t="s">
        <v>102</v>
      </c>
      <c r="R7" s="462"/>
      <c r="S7" s="462" t="s">
        <v>103</v>
      </c>
      <c r="T7" s="462"/>
      <c r="U7" s="462"/>
      <c r="V7" s="462"/>
      <c r="W7" s="467"/>
      <c r="X7" s="467"/>
      <c r="Y7" s="467"/>
      <c r="Z7" s="467"/>
      <c r="AA7" s="462"/>
      <c r="AB7" s="469"/>
    </row>
    <row r="8" spans="1:31" s="232" customFormat="1" ht="33.75" customHeight="1">
      <c r="A8" s="461"/>
      <c r="B8" s="462"/>
      <c r="C8" s="462"/>
      <c r="D8" s="462"/>
      <c r="E8" s="462"/>
      <c r="F8" s="462"/>
      <c r="G8" s="462" t="s">
        <v>3</v>
      </c>
      <c r="H8" s="462" t="s">
        <v>12</v>
      </c>
      <c r="I8" s="462" t="s">
        <v>3</v>
      </c>
      <c r="J8" s="462" t="s">
        <v>12</v>
      </c>
      <c r="K8" s="462"/>
      <c r="L8" s="462"/>
      <c r="M8" s="462" t="s">
        <v>3</v>
      </c>
      <c r="N8" s="462" t="s">
        <v>12</v>
      </c>
      <c r="O8" s="462" t="s">
        <v>3</v>
      </c>
      <c r="P8" s="462" t="s">
        <v>12</v>
      </c>
      <c r="Q8" s="462" t="s">
        <v>3</v>
      </c>
      <c r="R8" s="462" t="s">
        <v>12</v>
      </c>
      <c r="S8" s="462" t="s">
        <v>3</v>
      </c>
      <c r="T8" s="462" t="s">
        <v>12</v>
      </c>
      <c r="U8" s="462" t="s">
        <v>3</v>
      </c>
      <c r="V8" s="462" t="s">
        <v>12</v>
      </c>
      <c r="W8" s="462" t="s">
        <v>3</v>
      </c>
      <c r="X8" s="462" t="s">
        <v>12</v>
      </c>
      <c r="Y8" s="462"/>
      <c r="Z8" s="462"/>
      <c r="AA8" s="462"/>
      <c r="AB8" s="469"/>
    </row>
    <row r="9" spans="1:31" s="232" customFormat="1" ht="30.75" customHeight="1">
      <c r="A9" s="461"/>
      <c r="B9" s="462"/>
      <c r="C9" s="462"/>
      <c r="D9" s="462"/>
      <c r="E9" s="462"/>
      <c r="F9" s="462"/>
      <c r="G9" s="462"/>
      <c r="H9" s="462"/>
      <c r="I9" s="462"/>
      <c r="J9" s="462" t="s">
        <v>36</v>
      </c>
      <c r="K9" s="468" t="s">
        <v>8</v>
      </c>
      <c r="L9" s="468"/>
      <c r="M9" s="462"/>
      <c r="N9" s="462"/>
      <c r="O9" s="462"/>
      <c r="P9" s="462"/>
      <c r="Q9" s="462"/>
      <c r="R9" s="462"/>
      <c r="S9" s="462"/>
      <c r="T9" s="462"/>
      <c r="U9" s="462"/>
      <c r="V9" s="462"/>
      <c r="W9" s="462"/>
      <c r="X9" s="462" t="s">
        <v>36</v>
      </c>
      <c r="Y9" s="468" t="s">
        <v>8</v>
      </c>
      <c r="Z9" s="468"/>
      <c r="AA9" s="462"/>
      <c r="AB9" s="469"/>
    </row>
    <row r="10" spans="1:31" s="232" customFormat="1" ht="127.15" customHeight="1">
      <c r="A10" s="461"/>
      <c r="B10" s="462"/>
      <c r="C10" s="462"/>
      <c r="D10" s="462"/>
      <c r="E10" s="462"/>
      <c r="F10" s="462"/>
      <c r="G10" s="466"/>
      <c r="H10" s="462"/>
      <c r="I10" s="466"/>
      <c r="J10" s="462"/>
      <c r="K10" s="233" t="s">
        <v>66</v>
      </c>
      <c r="L10" s="233" t="s">
        <v>88</v>
      </c>
      <c r="M10" s="466"/>
      <c r="N10" s="462"/>
      <c r="O10" s="466"/>
      <c r="P10" s="462"/>
      <c r="Q10" s="466"/>
      <c r="R10" s="462"/>
      <c r="S10" s="466"/>
      <c r="T10" s="462"/>
      <c r="U10" s="466"/>
      <c r="V10" s="462"/>
      <c r="W10" s="466"/>
      <c r="X10" s="462"/>
      <c r="Y10" s="233" t="s">
        <v>66</v>
      </c>
      <c r="Z10" s="233" t="s">
        <v>88</v>
      </c>
      <c r="AA10" s="462"/>
      <c r="AB10" s="469"/>
    </row>
    <row r="11" spans="1:31" s="236" customFormat="1" ht="30.75" customHeight="1">
      <c r="A11" s="234">
        <v>1</v>
      </c>
      <c r="B11" s="142">
        <v>2</v>
      </c>
      <c r="C11" s="234">
        <v>3</v>
      </c>
      <c r="D11" s="234">
        <v>4</v>
      </c>
      <c r="E11" s="142">
        <v>5</v>
      </c>
      <c r="F11" s="234">
        <v>6</v>
      </c>
      <c r="G11" s="234">
        <v>7</v>
      </c>
      <c r="H11" s="142">
        <v>8</v>
      </c>
      <c r="I11" s="234">
        <v>9</v>
      </c>
      <c r="J11" s="234">
        <v>10</v>
      </c>
      <c r="K11" s="142">
        <v>11</v>
      </c>
      <c r="L11" s="234">
        <v>12</v>
      </c>
      <c r="M11" s="234">
        <v>13</v>
      </c>
      <c r="N11" s="142">
        <v>14</v>
      </c>
      <c r="O11" s="234">
        <v>15</v>
      </c>
      <c r="P11" s="234">
        <v>16</v>
      </c>
      <c r="Q11" s="234">
        <v>15</v>
      </c>
      <c r="R11" s="234">
        <v>16</v>
      </c>
      <c r="S11" s="142">
        <v>17</v>
      </c>
      <c r="T11" s="234">
        <v>18</v>
      </c>
      <c r="U11" s="234">
        <v>19</v>
      </c>
      <c r="V11" s="142">
        <v>20</v>
      </c>
      <c r="W11" s="234">
        <v>21</v>
      </c>
      <c r="X11" s="234">
        <v>22</v>
      </c>
      <c r="Y11" s="142">
        <v>23</v>
      </c>
      <c r="Z11" s="234">
        <v>24</v>
      </c>
      <c r="AA11" s="234">
        <v>25</v>
      </c>
      <c r="AB11" s="235"/>
    </row>
    <row r="12" spans="1:31" s="236" customFormat="1">
      <c r="A12" s="237"/>
      <c r="B12" s="238"/>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235"/>
    </row>
    <row r="13" spans="1:31" s="236" customFormat="1" ht="64.900000000000006" customHeight="1">
      <c r="A13" s="237"/>
      <c r="B13" s="238" t="s">
        <v>4</v>
      </c>
      <c r="C13" s="142"/>
      <c r="D13" s="142"/>
      <c r="E13" s="142"/>
      <c r="F13" s="142"/>
      <c r="G13" s="167">
        <f>SUM(G14,G31,G37)</f>
        <v>20713451</v>
      </c>
      <c r="H13" s="167">
        <f t="shared" ref="H13:Z13" si="0">SUM(H14,H31,H37)</f>
        <v>18221831</v>
      </c>
      <c r="I13" s="167">
        <f t="shared" si="0"/>
        <v>12027495</v>
      </c>
      <c r="J13" s="167">
        <f t="shared" si="0"/>
        <v>9970297</v>
      </c>
      <c r="K13" s="167">
        <f t="shared" si="0"/>
        <v>0</v>
      </c>
      <c r="L13" s="167">
        <f t="shared" si="0"/>
        <v>0</v>
      </c>
      <c r="M13" s="167">
        <f t="shared" si="0"/>
        <v>4793056</v>
      </c>
      <c r="N13" s="167">
        <f t="shared" si="0"/>
        <v>3127360</v>
      </c>
      <c r="O13" s="167">
        <f t="shared" si="0"/>
        <v>2145294</v>
      </c>
      <c r="P13" s="167">
        <f t="shared" si="0"/>
        <v>1896465</v>
      </c>
      <c r="Q13" s="167">
        <f t="shared" si="0"/>
        <v>3235886.5</v>
      </c>
      <c r="R13" s="167">
        <f t="shared" si="0"/>
        <v>2571432.5</v>
      </c>
      <c r="S13" s="167">
        <f t="shared" si="0"/>
        <v>4720133.75</v>
      </c>
      <c r="T13" s="167">
        <f t="shared" si="0"/>
        <v>3095029.75</v>
      </c>
      <c r="U13" s="167">
        <f t="shared" si="0"/>
        <v>9234929</v>
      </c>
      <c r="V13" s="167">
        <f t="shared" si="0"/>
        <v>5690790</v>
      </c>
      <c r="W13" s="167">
        <f t="shared" si="0"/>
        <v>3972807</v>
      </c>
      <c r="X13" s="167">
        <f t="shared" si="0"/>
        <v>4020467</v>
      </c>
      <c r="Y13" s="167">
        <f t="shared" si="0"/>
        <v>0</v>
      </c>
      <c r="Z13" s="167">
        <f t="shared" si="0"/>
        <v>0</v>
      </c>
      <c r="AA13" s="142"/>
      <c r="AB13" s="235"/>
      <c r="AD13" s="236">
        <f>J13-V13</f>
        <v>4279507</v>
      </c>
      <c r="AE13" s="236">
        <f>AD13-X13</f>
        <v>259040</v>
      </c>
    </row>
    <row r="14" spans="1:31" s="236" customFormat="1" ht="64.900000000000006" customHeight="1">
      <c r="A14" s="239" t="s">
        <v>37</v>
      </c>
      <c r="B14" s="141" t="s">
        <v>1294</v>
      </c>
      <c r="C14" s="142"/>
      <c r="D14" s="142"/>
      <c r="E14" s="142"/>
      <c r="F14" s="142"/>
      <c r="G14" s="240">
        <f>G15</f>
        <v>20278831</v>
      </c>
      <c r="H14" s="240">
        <f t="shared" ref="H14:Z14" si="1">H15</f>
        <v>17932175</v>
      </c>
      <c r="I14" s="240">
        <f t="shared" si="1"/>
        <v>11637691</v>
      </c>
      <c r="J14" s="240">
        <f t="shared" si="1"/>
        <v>9682017</v>
      </c>
      <c r="K14" s="240">
        <f t="shared" si="1"/>
        <v>0</v>
      </c>
      <c r="L14" s="240">
        <f t="shared" si="1"/>
        <v>0</v>
      </c>
      <c r="M14" s="240">
        <f t="shared" si="1"/>
        <v>4638803</v>
      </c>
      <c r="N14" s="240">
        <f t="shared" si="1"/>
        <v>3004316</v>
      </c>
      <c r="O14" s="240">
        <f t="shared" si="1"/>
        <v>2118860</v>
      </c>
      <c r="P14" s="240">
        <f t="shared" si="1"/>
        <v>1872145</v>
      </c>
      <c r="Q14" s="240">
        <f t="shared" si="1"/>
        <v>3180992</v>
      </c>
      <c r="R14" s="240">
        <f t="shared" si="1"/>
        <v>2518651</v>
      </c>
      <c r="S14" s="240">
        <f t="shared" si="1"/>
        <v>4627307</v>
      </c>
      <c r="T14" s="240">
        <f t="shared" si="1"/>
        <v>3004316</v>
      </c>
      <c r="U14" s="240">
        <f t="shared" si="1"/>
        <v>8986882</v>
      </c>
      <c r="V14" s="240">
        <f t="shared" si="1"/>
        <v>5444587</v>
      </c>
      <c r="W14" s="240">
        <f t="shared" si="1"/>
        <v>3935622</v>
      </c>
      <c r="X14" s="240">
        <f t="shared" si="1"/>
        <v>3976988</v>
      </c>
      <c r="Y14" s="240">
        <f t="shared" si="1"/>
        <v>0</v>
      </c>
      <c r="Z14" s="240">
        <f t="shared" si="1"/>
        <v>0</v>
      </c>
      <c r="AA14" s="142"/>
      <c r="AB14" s="235"/>
      <c r="AD14" s="236">
        <f t="shared" ref="AD14:AD40" si="2">J14-V14</f>
        <v>4237430</v>
      </c>
      <c r="AE14" s="236">
        <f t="shared" ref="AE14:AE40" si="3">AD14-X14</f>
        <v>260442</v>
      </c>
    </row>
    <row r="15" spans="1:31" s="236" customFormat="1" ht="64.900000000000006" customHeight="1">
      <c r="A15" s="140" t="s">
        <v>43</v>
      </c>
      <c r="B15" s="141" t="s">
        <v>58</v>
      </c>
      <c r="C15" s="142"/>
      <c r="D15" s="142"/>
      <c r="E15" s="142"/>
      <c r="F15" s="142"/>
      <c r="G15" s="143">
        <f>SUM(G16,G23,G27)</f>
        <v>20278831</v>
      </c>
      <c r="H15" s="143">
        <f t="shared" ref="H15:Z15" si="4">SUM(H16,H23,H27)</f>
        <v>17932175</v>
      </c>
      <c r="I15" s="143">
        <f t="shared" si="4"/>
        <v>11637691</v>
      </c>
      <c r="J15" s="143">
        <f t="shared" si="4"/>
        <v>9682017</v>
      </c>
      <c r="K15" s="143">
        <f t="shared" si="4"/>
        <v>0</v>
      </c>
      <c r="L15" s="143">
        <f t="shared" si="4"/>
        <v>0</v>
      </c>
      <c r="M15" s="143">
        <f t="shared" si="4"/>
        <v>4638803</v>
      </c>
      <c r="N15" s="143">
        <f t="shared" si="4"/>
        <v>3004316</v>
      </c>
      <c r="O15" s="143">
        <f t="shared" si="4"/>
        <v>2118860</v>
      </c>
      <c r="P15" s="143">
        <f t="shared" si="4"/>
        <v>1872145</v>
      </c>
      <c r="Q15" s="143">
        <f t="shared" si="4"/>
        <v>3180992</v>
      </c>
      <c r="R15" s="143">
        <f t="shared" si="4"/>
        <v>2518651</v>
      </c>
      <c r="S15" s="143">
        <f t="shared" si="4"/>
        <v>4627307</v>
      </c>
      <c r="T15" s="143">
        <f t="shared" si="4"/>
        <v>3004316</v>
      </c>
      <c r="U15" s="143">
        <f t="shared" si="4"/>
        <v>8986882</v>
      </c>
      <c r="V15" s="143">
        <f t="shared" si="4"/>
        <v>5444587</v>
      </c>
      <c r="W15" s="143">
        <f t="shared" si="4"/>
        <v>3935622</v>
      </c>
      <c r="X15" s="143">
        <f t="shared" si="4"/>
        <v>3976988</v>
      </c>
      <c r="Y15" s="143">
        <f t="shared" si="4"/>
        <v>0</v>
      </c>
      <c r="Z15" s="143">
        <f t="shared" si="4"/>
        <v>0</v>
      </c>
      <c r="AA15" s="142"/>
      <c r="AB15" s="235"/>
      <c r="AD15" s="236">
        <f t="shared" si="2"/>
        <v>4237430</v>
      </c>
      <c r="AE15" s="236">
        <f t="shared" si="3"/>
        <v>260442</v>
      </c>
    </row>
    <row r="16" spans="1:31" s="236" customFormat="1" ht="64.900000000000006" customHeight="1">
      <c r="A16" s="144" t="s">
        <v>39</v>
      </c>
      <c r="B16" s="145" t="s">
        <v>108</v>
      </c>
      <c r="C16" s="146"/>
      <c r="D16" s="146"/>
      <c r="E16" s="146"/>
      <c r="F16" s="146"/>
      <c r="G16" s="143">
        <f>G17</f>
        <v>3969049</v>
      </c>
      <c r="H16" s="143">
        <f t="shared" ref="H16:Z16" si="5">H17</f>
        <v>3069585</v>
      </c>
      <c r="I16" s="143">
        <f t="shared" si="5"/>
        <v>3953459</v>
      </c>
      <c r="J16" s="143">
        <f t="shared" si="5"/>
        <v>3328385</v>
      </c>
      <c r="K16" s="143">
        <f t="shared" si="5"/>
        <v>0</v>
      </c>
      <c r="L16" s="143">
        <f t="shared" si="5"/>
        <v>0</v>
      </c>
      <c r="M16" s="143">
        <f t="shared" si="5"/>
        <v>1174732</v>
      </c>
      <c r="N16" s="143">
        <f t="shared" si="5"/>
        <v>808000</v>
      </c>
      <c r="O16" s="143">
        <f t="shared" si="5"/>
        <v>218236</v>
      </c>
      <c r="P16" s="143">
        <f t="shared" si="5"/>
        <v>202910</v>
      </c>
      <c r="Q16" s="143">
        <f t="shared" si="5"/>
        <v>547367</v>
      </c>
      <c r="R16" s="143">
        <f t="shared" si="5"/>
        <v>532335</v>
      </c>
      <c r="S16" s="143">
        <f t="shared" si="5"/>
        <v>1163236</v>
      </c>
      <c r="T16" s="143">
        <f t="shared" si="5"/>
        <v>808000</v>
      </c>
      <c r="U16" s="143">
        <f t="shared" si="5"/>
        <v>3232252</v>
      </c>
      <c r="V16" s="143">
        <f t="shared" si="5"/>
        <v>2715798</v>
      </c>
      <c r="W16" s="143">
        <f t="shared" si="5"/>
        <v>645990</v>
      </c>
      <c r="X16" s="143">
        <f t="shared" si="5"/>
        <v>645990</v>
      </c>
      <c r="Y16" s="143">
        <f t="shared" si="5"/>
        <v>0</v>
      </c>
      <c r="Z16" s="143">
        <f t="shared" si="5"/>
        <v>0</v>
      </c>
      <c r="AA16" s="147"/>
      <c r="AB16" s="235"/>
      <c r="AD16" s="236">
        <f t="shared" si="2"/>
        <v>612587</v>
      </c>
      <c r="AE16" s="236">
        <f t="shared" si="3"/>
        <v>-33403</v>
      </c>
    </row>
    <row r="17" spans="1:31" s="236" customFormat="1" ht="64.900000000000006" customHeight="1">
      <c r="A17" s="148" t="s">
        <v>46</v>
      </c>
      <c r="B17" s="149" t="s">
        <v>18</v>
      </c>
      <c r="C17" s="150"/>
      <c r="D17" s="150"/>
      <c r="E17" s="150"/>
      <c r="F17" s="150"/>
      <c r="G17" s="151">
        <f>SUM(G18:G22)</f>
        <v>3969049</v>
      </c>
      <c r="H17" s="151">
        <f t="shared" ref="H17:Z17" si="6">SUM(H18:H22)</f>
        <v>3069585</v>
      </c>
      <c r="I17" s="151">
        <f t="shared" si="6"/>
        <v>3953459</v>
      </c>
      <c r="J17" s="151">
        <f t="shared" si="6"/>
        <v>3328385</v>
      </c>
      <c r="K17" s="151">
        <f t="shared" si="6"/>
        <v>0</v>
      </c>
      <c r="L17" s="151">
        <f t="shared" si="6"/>
        <v>0</v>
      </c>
      <c r="M17" s="151">
        <f t="shared" si="6"/>
        <v>1174732</v>
      </c>
      <c r="N17" s="151">
        <f t="shared" si="6"/>
        <v>808000</v>
      </c>
      <c r="O17" s="151">
        <f t="shared" si="6"/>
        <v>218236</v>
      </c>
      <c r="P17" s="151">
        <f t="shared" si="6"/>
        <v>202910</v>
      </c>
      <c r="Q17" s="151">
        <f t="shared" si="6"/>
        <v>547367</v>
      </c>
      <c r="R17" s="151">
        <f t="shared" si="6"/>
        <v>532335</v>
      </c>
      <c r="S17" s="151">
        <f t="shared" si="6"/>
        <v>1163236</v>
      </c>
      <c r="T17" s="151">
        <f t="shared" si="6"/>
        <v>808000</v>
      </c>
      <c r="U17" s="151">
        <f t="shared" si="6"/>
        <v>3232252</v>
      </c>
      <c r="V17" s="151">
        <f t="shared" si="6"/>
        <v>2715798</v>
      </c>
      <c r="W17" s="151">
        <f t="shared" si="6"/>
        <v>645990</v>
      </c>
      <c r="X17" s="151">
        <f t="shared" si="6"/>
        <v>645990</v>
      </c>
      <c r="Y17" s="151">
        <f t="shared" si="6"/>
        <v>0</v>
      </c>
      <c r="Z17" s="151">
        <f t="shared" si="6"/>
        <v>0</v>
      </c>
      <c r="AA17" s="152"/>
      <c r="AB17" s="235"/>
      <c r="AD17" s="236">
        <f t="shared" si="2"/>
        <v>612587</v>
      </c>
      <c r="AE17" s="236">
        <f t="shared" si="3"/>
        <v>-33403</v>
      </c>
    </row>
    <row r="18" spans="1:31" s="236" customFormat="1" ht="129" customHeight="1">
      <c r="A18" s="153" t="s">
        <v>13</v>
      </c>
      <c r="B18" s="154" t="s">
        <v>212</v>
      </c>
      <c r="C18" s="155" t="s">
        <v>213</v>
      </c>
      <c r="D18" s="155" t="s">
        <v>214</v>
      </c>
      <c r="E18" s="156" t="s">
        <v>215</v>
      </c>
      <c r="F18" s="157" t="s">
        <v>216</v>
      </c>
      <c r="G18" s="241">
        <v>2131006</v>
      </c>
      <c r="H18" s="241">
        <v>1400000</v>
      </c>
      <c r="I18" s="241">
        <f>J18+516454</f>
        <v>1916454</v>
      </c>
      <c r="J18" s="241">
        <v>1400000</v>
      </c>
      <c r="K18" s="158"/>
      <c r="L18" s="158"/>
      <c r="M18" s="159">
        <v>608112</v>
      </c>
      <c r="N18" s="171">
        <v>350000</v>
      </c>
      <c r="O18" s="159">
        <v>79834</v>
      </c>
      <c r="P18" s="159">
        <v>64508</v>
      </c>
      <c r="Q18" s="159">
        <v>222474</v>
      </c>
      <c r="R18" s="159">
        <f>Q18-15032</f>
        <v>207442</v>
      </c>
      <c r="S18" s="159">
        <v>608112</v>
      </c>
      <c r="T18" s="159">
        <v>350000</v>
      </c>
      <c r="U18" s="159">
        <v>1916454</v>
      </c>
      <c r="V18" s="159">
        <v>1400000</v>
      </c>
      <c r="W18" s="159">
        <f>X18</f>
        <v>0</v>
      </c>
      <c r="X18" s="159"/>
      <c r="Y18" s="152"/>
      <c r="Z18" s="152"/>
      <c r="AA18" s="242" t="s">
        <v>1295</v>
      </c>
      <c r="AB18" s="235"/>
      <c r="AD18" s="236">
        <f t="shared" si="2"/>
        <v>0</v>
      </c>
      <c r="AE18" s="236">
        <f t="shared" si="3"/>
        <v>0</v>
      </c>
    </row>
    <row r="19" spans="1:31" s="236" customFormat="1" ht="64.900000000000006" customHeight="1">
      <c r="A19" s="243">
        <v>3</v>
      </c>
      <c r="B19" s="244" t="s">
        <v>1333</v>
      </c>
      <c r="C19" s="245" t="s">
        <v>364</v>
      </c>
      <c r="D19" s="246" t="s">
        <v>1334</v>
      </c>
      <c r="E19" s="246" t="s">
        <v>316</v>
      </c>
      <c r="F19" s="246"/>
      <c r="G19" s="241"/>
      <c r="H19" s="241"/>
      <c r="I19" s="241">
        <f>J19</f>
        <v>267300</v>
      </c>
      <c r="J19" s="241">
        <v>267300</v>
      </c>
      <c r="K19" s="158"/>
      <c r="L19" s="158"/>
      <c r="M19" s="159">
        <f>N19</f>
        <v>132000</v>
      </c>
      <c r="N19" s="171">
        <v>132000</v>
      </c>
      <c r="O19" s="247">
        <f>P19</f>
        <v>3794</v>
      </c>
      <c r="P19" s="247">
        <v>3794</v>
      </c>
      <c r="Q19" s="247">
        <f>R19</f>
        <v>105000</v>
      </c>
      <c r="R19" s="247">
        <v>105000</v>
      </c>
      <c r="S19" s="247">
        <v>132000</v>
      </c>
      <c r="T19" s="247">
        <v>132000</v>
      </c>
      <c r="U19" s="159">
        <f>V19</f>
        <v>133060</v>
      </c>
      <c r="V19" s="159">
        <v>133060</v>
      </c>
      <c r="W19" s="159">
        <f>X19</f>
        <v>134657</v>
      </c>
      <c r="X19" s="171">
        <v>134657</v>
      </c>
      <c r="Y19" s="152"/>
      <c r="Z19" s="152"/>
      <c r="AA19" s="242" t="s">
        <v>1335</v>
      </c>
      <c r="AB19" s="235"/>
      <c r="AD19" s="236">
        <f t="shared" si="2"/>
        <v>134240</v>
      </c>
      <c r="AE19" s="236">
        <f t="shared" si="3"/>
        <v>-417</v>
      </c>
    </row>
    <row r="20" spans="1:31" s="227" customFormat="1" ht="64.900000000000006" customHeight="1">
      <c r="A20" s="153" t="s">
        <v>0</v>
      </c>
      <c r="B20" s="160" t="s">
        <v>1296</v>
      </c>
      <c r="C20" s="139" t="s">
        <v>223</v>
      </c>
      <c r="D20" s="139" t="s">
        <v>1297</v>
      </c>
      <c r="E20" s="139" t="s">
        <v>220</v>
      </c>
      <c r="F20" s="139" t="s">
        <v>1298</v>
      </c>
      <c r="G20" s="161">
        <v>260834</v>
      </c>
      <c r="H20" s="161">
        <v>239400</v>
      </c>
      <c r="I20" s="241">
        <f>J20</f>
        <v>239400</v>
      </c>
      <c r="J20" s="241">
        <v>239400</v>
      </c>
      <c r="K20" s="158"/>
      <c r="L20" s="158"/>
      <c r="M20" s="159">
        <v>30000</v>
      </c>
      <c r="N20" s="171">
        <v>30000</v>
      </c>
      <c r="O20" s="159">
        <v>30000</v>
      </c>
      <c r="P20" s="159">
        <v>30000</v>
      </c>
      <c r="Q20" s="159">
        <v>30000</v>
      </c>
      <c r="R20" s="159">
        <v>30000</v>
      </c>
      <c r="S20" s="159">
        <v>30000</v>
      </c>
      <c r="T20" s="159">
        <v>30000</v>
      </c>
      <c r="U20" s="159">
        <f>V20</f>
        <v>130000</v>
      </c>
      <c r="V20" s="159">
        <v>130000</v>
      </c>
      <c r="W20" s="159">
        <f>X20</f>
        <v>139715</v>
      </c>
      <c r="X20" s="171">
        <v>139715</v>
      </c>
      <c r="Y20" s="152"/>
      <c r="Z20" s="152"/>
      <c r="AA20" s="242" t="s">
        <v>1295</v>
      </c>
      <c r="AB20" s="248"/>
      <c r="AD20" s="236">
        <f t="shared" si="2"/>
        <v>109400</v>
      </c>
      <c r="AE20" s="236">
        <f t="shared" si="3"/>
        <v>-30315</v>
      </c>
    </row>
    <row r="21" spans="1:31" s="226" customFormat="1" ht="64.900000000000006" customHeight="1">
      <c r="A21" s="249">
        <v>3</v>
      </c>
      <c r="B21" s="250" t="s">
        <v>1299</v>
      </c>
      <c r="C21" s="251" t="s">
        <v>976</v>
      </c>
      <c r="D21" s="251" t="s">
        <v>1300</v>
      </c>
      <c r="E21" s="251" t="s">
        <v>316</v>
      </c>
      <c r="F21" s="157" t="s">
        <v>1301</v>
      </c>
      <c r="G21" s="252">
        <v>499000</v>
      </c>
      <c r="H21" s="252">
        <v>449100</v>
      </c>
      <c r="I21" s="253">
        <v>444100</v>
      </c>
      <c r="J21" s="253">
        <v>444100</v>
      </c>
      <c r="K21" s="158"/>
      <c r="L21" s="158"/>
      <c r="M21" s="159">
        <v>46000</v>
      </c>
      <c r="N21" s="171">
        <v>46000</v>
      </c>
      <c r="O21" s="254"/>
      <c r="P21" s="254"/>
      <c r="Q21" s="254">
        <f>R21</f>
        <v>32200</v>
      </c>
      <c r="R21" s="254">
        <v>32200</v>
      </c>
      <c r="S21" s="254">
        <f>T21</f>
        <v>46000</v>
      </c>
      <c r="T21" s="254">
        <f>N21</f>
        <v>46000</v>
      </c>
      <c r="U21" s="159">
        <f>V21</f>
        <v>196926</v>
      </c>
      <c r="V21" s="159">
        <v>196926</v>
      </c>
      <c r="W21" s="152">
        <f>X21</f>
        <v>249845</v>
      </c>
      <c r="X21" s="171">
        <v>249845</v>
      </c>
      <c r="Y21" s="152"/>
      <c r="Z21" s="152"/>
      <c r="AA21" s="242" t="s">
        <v>1302</v>
      </c>
      <c r="AB21" s="255"/>
      <c r="AD21" s="236">
        <f t="shared" si="2"/>
        <v>247174</v>
      </c>
      <c r="AE21" s="236">
        <f t="shared" si="3"/>
        <v>-2671</v>
      </c>
    </row>
    <row r="22" spans="1:31" ht="85.15" customHeight="1">
      <c r="A22" s="249">
        <v>4</v>
      </c>
      <c r="B22" s="250" t="s">
        <v>1086</v>
      </c>
      <c r="C22" s="251" t="s">
        <v>1303</v>
      </c>
      <c r="D22" s="251" t="s">
        <v>1304</v>
      </c>
      <c r="E22" s="251" t="s">
        <v>316</v>
      </c>
      <c r="F22" s="157" t="s">
        <v>1305</v>
      </c>
      <c r="G22" s="252">
        <v>1078209</v>
      </c>
      <c r="H22" s="252">
        <v>981085</v>
      </c>
      <c r="I22" s="256">
        <f>977585+108620</f>
        <v>1086205</v>
      </c>
      <c r="J22" s="256">
        <v>977585</v>
      </c>
      <c r="K22" s="257"/>
      <c r="L22" s="257"/>
      <c r="M22" s="258">
        <f>N22+108620</f>
        <v>358620</v>
      </c>
      <c r="N22" s="259">
        <v>250000</v>
      </c>
      <c r="O22" s="173">
        <f>P22</f>
        <v>104608</v>
      </c>
      <c r="P22" s="173">
        <v>104608</v>
      </c>
      <c r="Q22" s="173">
        <f>R22</f>
        <v>157693</v>
      </c>
      <c r="R22" s="173">
        <v>157693</v>
      </c>
      <c r="S22" s="173">
        <f>97124+T22</f>
        <v>347124</v>
      </c>
      <c r="T22" s="173">
        <v>250000</v>
      </c>
      <c r="U22" s="159">
        <f>V22</f>
        <v>855812</v>
      </c>
      <c r="V22" s="159">
        <v>855812</v>
      </c>
      <c r="W22" s="159">
        <f>X22</f>
        <v>121773</v>
      </c>
      <c r="X22" s="171">
        <v>121773</v>
      </c>
      <c r="Y22" s="152"/>
      <c r="Z22" s="152"/>
      <c r="AA22" s="242" t="s">
        <v>1306</v>
      </c>
      <c r="AB22" s="260"/>
      <c r="AD22" s="236">
        <f t="shared" si="2"/>
        <v>121773</v>
      </c>
      <c r="AE22" s="236">
        <f t="shared" si="3"/>
        <v>0</v>
      </c>
    </row>
    <row r="23" spans="1:31" ht="64.900000000000006" customHeight="1">
      <c r="A23" s="144" t="s">
        <v>41</v>
      </c>
      <c r="B23" s="145" t="s">
        <v>109</v>
      </c>
      <c r="C23" s="139"/>
      <c r="D23" s="139"/>
      <c r="E23" s="139"/>
      <c r="F23" s="139"/>
      <c r="G23" s="162">
        <f>G24</f>
        <v>2358693</v>
      </c>
      <c r="H23" s="162">
        <f t="shared" ref="H23:Z23" si="7">H24</f>
        <v>1638693</v>
      </c>
      <c r="I23" s="162">
        <f t="shared" si="7"/>
        <v>1269259</v>
      </c>
      <c r="J23" s="162">
        <f t="shared" si="7"/>
        <v>1211659</v>
      </c>
      <c r="K23" s="162">
        <f t="shared" si="7"/>
        <v>0</v>
      </c>
      <c r="L23" s="162">
        <f t="shared" si="7"/>
        <v>0</v>
      </c>
      <c r="M23" s="162">
        <f t="shared" si="7"/>
        <v>241316</v>
      </c>
      <c r="N23" s="162">
        <f t="shared" si="7"/>
        <v>241316</v>
      </c>
      <c r="O23" s="162">
        <f t="shared" si="7"/>
        <v>1821</v>
      </c>
      <c r="P23" s="162">
        <f t="shared" si="7"/>
        <v>2876</v>
      </c>
      <c r="Q23" s="162">
        <f t="shared" si="7"/>
        <v>183316</v>
      </c>
      <c r="R23" s="162">
        <f t="shared" si="7"/>
        <v>186316</v>
      </c>
      <c r="S23" s="162">
        <f t="shared" si="7"/>
        <v>241316</v>
      </c>
      <c r="T23" s="162">
        <f t="shared" si="7"/>
        <v>241316</v>
      </c>
      <c r="U23" s="162">
        <f t="shared" si="7"/>
        <v>246316</v>
      </c>
      <c r="V23" s="162">
        <f t="shared" si="7"/>
        <v>246316</v>
      </c>
      <c r="W23" s="162">
        <f t="shared" si="7"/>
        <v>429500</v>
      </c>
      <c r="X23" s="162">
        <f t="shared" si="7"/>
        <v>672498</v>
      </c>
      <c r="Y23" s="162">
        <f t="shared" si="7"/>
        <v>0</v>
      </c>
      <c r="Z23" s="162">
        <f t="shared" si="7"/>
        <v>0</v>
      </c>
      <c r="AA23" s="158"/>
      <c r="AB23" s="260"/>
      <c r="AD23" s="236">
        <f t="shared" si="2"/>
        <v>965343</v>
      </c>
      <c r="AE23" s="236">
        <f t="shared" si="3"/>
        <v>292845</v>
      </c>
    </row>
    <row r="24" spans="1:31" ht="64.900000000000006" customHeight="1">
      <c r="A24" s="148" t="s">
        <v>46</v>
      </c>
      <c r="B24" s="149" t="s">
        <v>18</v>
      </c>
      <c r="C24" s="150"/>
      <c r="D24" s="150"/>
      <c r="E24" s="150"/>
      <c r="F24" s="150"/>
      <c r="G24" s="163">
        <f>G25+G26</f>
        <v>2358693</v>
      </c>
      <c r="H24" s="163">
        <f t="shared" ref="H24:Z24" si="8">H25+H26</f>
        <v>1638693</v>
      </c>
      <c r="I24" s="163">
        <f t="shared" si="8"/>
        <v>1269259</v>
      </c>
      <c r="J24" s="163">
        <f t="shared" si="8"/>
        <v>1211659</v>
      </c>
      <c r="K24" s="163">
        <f t="shared" si="8"/>
        <v>0</v>
      </c>
      <c r="L24" s="163">
        <f t="shared" si="8"/>
        <v>0</v>
      </c>
      <c r="M24" s="163">
        <f t="shared" si="8"/>
        <v>241316</v>
      </c>
      <c r="N24" s="163">
        <f t="shared" si="8"/>
        <v>241316</v>
      </c>
      <c r="O24" s="163">
        <f t="shared" si="8"/>
        <v>1821</v>
      </c>
      <c r="P24" s="163">
        <f t="shared" si="8"/>
        <v>2876</v>
      </c>
      <c r="Q24" s="163">
        <f t="shared" si="8"/>
        <v>183316</v>
      </c>
      <c r="R24" s="163">
        <f t="shared" si="8"/>
        <v>186316</v>
      </c>
      <c r="S24" s="163">
        <f t="shared" si="8"/>
        <v>241316</v>
      </c>
      <c r="T24" s="163">
        <f t="shared" si="8"/>
        <v>241316</v>
      </c>
      <c r="U24" s="163">
        <f t="shared" si="8"/>
        <v>246316</v>
      </c>
      <c r="V24" s="163">
        <f t="shared" si="8"/>
        <v>246316</v>
      </c>
      <c r="W24" s="163">
        <f t="shared" si="8"/>
        <v>429500</v>
      </c>
      <c r="X24" s="163">
        <f t="shared" si="8"/>
        <v>672498</v>
      </c>
      <c r="Y24" s="163">
        <f t="shared" si="8"/>
        <v>0</v>
      </c>
      <c r="Z24" s="163">
        <f t="shared" si="8"/>
        <v>0</v>
      </c>
      <c r="AA24" s="152"/>
      <c r="AB24" s="260"/>
      <c r="AD24" s="236">
        <f t="shared" si="2"/>
        <v>965343</v>
      </c>
      <c r="AE24" s="236">
        <f t="shared" si="3"/>
        <v>292845</v>
      </c>
    </row>
    <row r="25" spans="1:31" s="226" customFormat="1" ht="64.900000000000006" customHeight="1">
      <c r="A25" s="153" t="s">
        <v>13</v>
      </c>
      <c r="B25" s="154" t="s">
        <v>1307</v>
      </c>
      <c r="C25" s="164" t="s">
        <v>1308</v>
      </c>
      <c r="D25" s="164" t="s">
        <v>1309</v>
      </c>
      <c r="E25" s="157" t="s">
        <v>1310</v>
      </c>
      <c r="F25" s="157" t="s">
        <v>1311</v>
      </c>
      <c r="G25" s="159">
        <v>863693</v>
      </c>
      <c r="H25" s="159">
        <f>G25-720000</f>
        <v>143693</v>
      </c>
      <c r="I25" s="241">
        <f>J25+57600</f>
        <v>777600</v>
      </c>
      <c r="J25" s="241">
        <v>720000</v>
      </c>
      <c r="K25" s="158"/>
      <c r="L25" s="158"/>
      <c r="M25" s="159">
        <v>241316</v>
      </c>
      <c r="N25" s="171">
        <v>241316</v>
      </c>
      <c r="O25" s="159">
        <v>1821</v>
      </c>
      <c r="P25" s="159">
        <v>2876</v>
      </c>
      <c r="Q25" s="159">
        <v>183316</v>
      </c>
      <c r="R25" s="159">
        <v>186316</v>
      </c>
      <c r="S25" s="159">
        <v>241316</v>
      </c>
      <c r="T25" s="159">
        <v>241316</v>
      </c>
      <c r="U25" s="159">
        <f>V25</f>
        <v>246316</v>
      </c>
      <c r="V25" s="159">
        <v>246316</v>
      </c>
      <c r="W25" s="159">
        <v>419500</v>
      </c>
      <c r="X25" s="171">
        <v>472498</v>
      </c>
      <c r="Y25" s="152"/>
      <c r="Z25" s="152"/>
      <c r="AA25" s="242" t="s">
        <v>1295</v>
      </c>
      <c r="AB25" s="255"/>
      <c r="AD25" s="236">
        <f t="shared" si="2"/>
        <v>473684</v>
      </c>
      <c r="AE25" s="236">
        <f t="shared" si="3"/>
        <v>1186</v>
      </c>
    </row>
    <row r="26" spans="1:31" ht="64.900000000000006" customHeight="1">
      <c r="A26" s="153" t="s">
        <v>0</v>
      </c>
      <c r="B26" s="154" t="s">
        <v>1312</v>
      </c>
      <c r="C26" s="164" t="s">
        <v>1313</v>
      </c>
      <c r="D26" s="164" t="s">
        <v>1314</v>
      </c>
      <c r="E26" s="157" t="s">
        <v>355</v>
      </c>
      <c r="F26" s="157" t="s">
        <v>1315</v>
      </c>
      <c r="G26" s="159">
        <v>1495000</v>
      </c>
      <c r="H26" s="159">
        <v>1495000</v>
      </c>
      <c r="I26" s="159">
        <v>491659</v>
      </c>
      <c r="J26" s="159">
        <v>491659</v>
      </c>
      <c r="K26" s="158"/>
      <c r="L26" s="158"/>
      <c r="M26" s="159"/>
      <c r="N26" s="159"/>
      <c r="O26" s="159"/>
      <c r="P26" s="159"/>
      <c r="Q26" s="159"/>
      <c r="R26" s="159"/>
      <c r="S26" s="159"/>
      <c r="T26" s="159"/>
      <c r="U26" s="152"/>
      <c r="V26" s="152"/>
      <c r="W26" s="159">
        <v>10000</v>
      </c>
      <c r="X26" s="171">
        <v>200000</v>
      </c>
      <c r="Y26" s="152"/>
      <c r="Z26" s="152"/>
      <c r="AA26" s="242" t="s">
        <v>1295</v>
      </c>
      <c r="AB26" s="260"/>
      <c r="AD26" s="236">
        <f t="shared" si="2"/>
        <v>491659</v>
      </c>
      <c r="AE26" s="236">
        <f t="shared" si="3"/>
        <v>291659</v>
      </c>
    </row>
    <row r="27" spans="1:31" ht="64.900000000000006" customHeight="1">
      <c r="A27" s="144" t="s">
        <v>23</v>
      </c>
      <c r="B27" s="145" t="s">
        <v>110</v>
      </c>
      <c r="C27" s="146"/>
      <c r="D27" s="146"/>
      <c r="E27" s="146"/>
      <c r="F27" s="146"/>
      <c r="G27" s="143">
        <f>G28</f>
        <v>13951089</v>
      </c>
      <c r="H27" s="143">
        <f t="shared" ref="H27:Z27" si="9">H28</f>
        <v>13223897</v>
      </c>
      <c r="I27" s="143">
        <f t="shared" si="9"/>
        <v>6414973</v>
      </c>
      <c r="J27" s="143">
        <f t="shared" si="9"/>
        <v>5141973</v>
      </c>
      <c r="K27" s="143">
        <f t="shared" si="9"/>
        <v>0</v>
      </c>
      <c r="L27" s="143">
        <f t="shared" si="9"/>
        <v>0</v>
      </c>
      <c r="M27" s="143">
        <f t="shared" si="9"/>
        <v>3222755</v>
      </c>
      <c r="N27" s="143">
        <f t="shared" si="9"/>
        <v>1955000</v>
      </c>
      <c r="O27" s="143">
        <f t="shared" si="9"/>
        <v>1898803</v>
      </c>
      <c r="P27" s="143">
        <f t="shared" si="9"/>
        <v>1666359</v>
      </c>
      <c r="Q27" s="143">
        <f t="shared" si="9"/>
        <v>2450309</v>
      </c>
      <c r="R27" s="143">
        <f t="shared" si="9"/>
        <v>1800000</v>
      </c>
      <c r="S27" s="143">
        <f t="shared" si="9"/>
        <v>3222755</v>
      </c>
      <c r="T27" s="143">
        <f t="shared" si="9"/>
        <v>1955000</v>
      </c>
      <c r="U27" s="143">
        <f t="shared" si="9"/>
        <v>5508314</v>
      </c>
      <c r="V27" s="143">
        <f t="shared" si="9"/>
        <v>2482473</v>
      </c>
      <c r="W27" s="143">
        <f t="shared" si="9"/>
        <v>2860132</v>
      </c>
      <c r="X27" s="143">
        <f t="shared" si="9"/>
        <v>2658500</v>
      </c>
      <c r="Y27" s="143">
        <f t="shared" si="9"/>
        <v>0</v>
      </c>
      <c r="Z27" s="143">
        <f t="shared" si="9"/>
        <v>0</v>
      </c>
      <c r="AA27" s="147"/>
      <c r="AB27" s="260"/>
      <c r="AD27" s="236">
        <f t="shared" si="2"/>
        <v>2659500</v>
      </c>
      <c r="AE27" s="236">
        <f t="shared" si="3"/>
        <v>1000</v>
      </c>
    </row>
    <row r="28" spans="1:31" s="226" customFormat="1" ht="64.900000000000006" customHeight="1">
      <c r="A28" s="148" t="s">
        <v>45</v>
      </c>
      <c r="B28" s="149" t="s">
        <v>17</v>
      </c>
      <c r="C28" s="150"/>
      <c r="D28" s="150"/>
      <c r="E28" s="150"/>
      <c r="F28" s="150"/>
      <c r="G28" s="151">
        <f>G29+G30</f>
        <v>13951089</v>
      </c>
      <c r="H28" s="151">
        <f t="shared" ref="H28:Z28" si="10">H29+H30</f>
        <v>13223897</v>
      </c>
      <c r="I28" s="151">
        <f t="shared" si="10"/>
        <v>6414973</v>
      </c>
      <c r="J28" s="151">
        <f t="shared" si="10"/>
        <v>5141973</v>
      </c>
      <c r="K28" s="151">
        <f t="shared" si="10"/>
        <v>0</v>
      </c>
      <c r="L28" s="151">
        <f t="shared" si="10"/>
        <v>0</v>
      </c>
      <c r="M28" s="151">
        <f t="shared" si="10"/>
        <v>3222755</v>
      </c>
      <c r="N28" s="151">
        <f t="shared" si="10"/>
        <v>1955000</v>
      </c>
      <c r="O28" s="151">
        <f t="shared" si="10"/>
        <v>1898803</v>
      </c>
      <c r="P28" s="151">
        <f t="shared" si="10"/>
        <v>1666359</v>
      </c>
      <c r="Q28" s="151">
        <f t="shared" si="10"/>
        <v>2450309</v>
      </c>
      <c r="R28" s="151">
        <f t="shared" si="10"/>
        <v>1800000</v>
      </c>
      <c r="S28" s="151">
        <f t="shared" si="10"/>
        <v>3222755</v>
      </c>
      <c r="T28" s="151">
        <f t="shared" si="10"/>
        <v>1955000</v>
      </c>
      <c r="U28" s="151">
        <f t="shared" si="10"/>
        <v>5508314</v>
      </c>
      <c r="V28" s="151">
        <f t="shared" si="10"/>
        <v>2482473</v>
      </c>
      <c r="W28" s="151">
        <f t="shared" si="10"/>
        <v>2860132</v>
      </c>
      <c r="X28" s="151">
        <f t="shared" si="10"/>
        <v>2658500</v>
      </c>
      <c r="Y28" s="151">
        <f t="shared" si="10"/>
        <v>0</v>
      </c>
      <c r="Z28" s="151">
        <f t="shared" si="10"/>
        <v>0</v>
      </c>
      <c r="AA28" s="151"/>
      <c r="AB28" s="151"/>
      <c r="AD28" s="236">
        <f t="shared" si="2"/>
        <v>2659500</v>
      </c>
      <c r="AE28" s="236">
        <f t="shared" si="3"/>
        <v>1000</v>
      </c>
    </row>
    <row r="29" spans="1:31" ht="97.9" customHeight="1">
      <c r="A29" s="153" t="s">
        <v>13</v>
      </c>
      <c r="B29" s="154" t="s">
        <v>1316</v>
      </c>
      <c r="C29" s="139" t="s">
        <v>237</v>
      </c>
      <c r="D29" s="165" t="s">
        <v>238</v>
      </c>
      <c r="E29" s="139" t="s">
        <v>239</v>
      </c>
      <c r="F29" s="139" t="s">
        <v>240</v>
      </c>
      <c r="G29" s="161">
        <v>13526192</v>
      </c>
      <c r="H29" s="161">
        <v>12799000</v>
      </c>
      <c r="I29" s="161">
        <f>4928000+1173000+100000</f>
        <v>6201000</v>
      </c>
      <c r="J29" s="161">
        <v>4928000</v>
      </c>
      <c r="K29" s="166"/>
      <c r="L29" s="166"/>
      <c r="M29" s="166">
        <v>3222755</v>
      </c>
      <c r="N29" s="172">
        <v>1955000</v>
      </c>
      <c r="O29" s="166">
        <v>1898803</v>
      </c>
      <c r="P29" s="166">
        <v>1666359</v>
      </c>
      <c r="Q29" s="166">
        <v>2450309</v>
      </c>
      <c r="R29" s="166">
        <v>1800000</v>
      </c>
      <c r="S29" s="166">
        <v>3222755</v>
      </c>
      <c r="T29" s="166">
        <f>2955000-1000000</f>
        <v>1955000</v>
      </c>
      <c r="U29" s="166">
        <v>5508314</v>
      </c>
      <c r="V29" s="166">
        <f>1955000+527473</f>
        <v>2482473</v>
      </c>
      <c r="W29" s="159">
        <v>2647159</v>
      </c>
      <c r="X29" s="159">
        <v>2445527</v>
      </c>
      <c r="Y29" s="152"/>
      <c r="Z29" s="152"/>
      <c r="AA29" s="242" t="s">
        <v>1295</v>
      </c>
      <c r="AB29" s="154" t="s">
        <v>1332</v>
      </c>
      <c r="AD29" s="236">
        <f t="shared" si="2"/>
        <v>2445527</v>
      </c>
      <c r="AE29" s="236">
        <f t="shared" si="3"/>
        <v>0</v>
      </c>
    </row>
    <row r="30" spans="1:31" ht="64.900000000000006" customHeight="1">
      <c r="A30" s="153" t="s">
        <v>0</v>
      </c>
      <c r="B30" s="154" t="s">
        <v>1336</v>
      </c>
      <c r="C30" s="139" t="s">
        <v>304</v>
      </c>
      <c r="D30" s="165" t="s">
        <v>1337</v>
      </c>
      <c r="E30" s="139" t="s">
        <v>305</v>
      </c>
      <c r="F30" s="139" t="s">
        <v>1338</v>
      </c>
      <c r="G30" s="161">
        <f>H30</f>
        <v>424897</v>
      </c>
      <c r="H30" s="161">
        <v>424897</v>
      </c>
      <c r="I30" s="161">
        <f>J30</f>
        <v>213973</v>
      </c>
      <c r="J30" s="161">
        <v>213973</v>
      </c>
      <c r="K30" s="166"/>
      <c r="L30" s="166"/>
      <c r="M30" s="166"/>
      <c r="N30" s="172"/>
      <c r="O30" s="166"/>
      <c r="P30" s="166"/>
      <c r="Q30" s="166"/>
      <c r="R30" s="166"/>
      <c r="S30" s="166"/>
      <c r="T30" s="166"/>
      <c r="U30" s="166"/>
      <c r="V30" s="166"/>
      <c r="W30" s="159">
        <f>X30</f>
        <v>212973</v>
      </c>
      <c r="X30" s="171">
        <v>212973</v>
      </c>
      <c r="Y30" s="152"/>
      <c r="Z30" s="152"/>
      <c r="AA30" s="242"/>
      <c r="AB30" s="154"/>
      <c r="AD30" s="236">
        <f t="shared" si="2"/>
        <v>213973</v>
      </c>
      <c r="AE30" s="236">
        <f t="shared" si="3"/>
        <v>1000</v>
      </c>
    </row>
    <row r="31" spans="1:31" ht="64.900000000000006" customHeight="1">
      <c r="A31" s="144" t="s">
        <v>44</v>
      </c>
      <c r="B31" s="261" t="s">
        <v>1317</v>
      </c>
      <c r="C31" s="139"/>
      <c r="D31" s="139"/>
      <c r="E31" s="139"/>
      <c r="F31" s="146"/>
      <c r="G31" s="240">
        <f>G32</f>
        <v>191209</v>
      </c>
      <c r="H31" s="240">
        <f t="shared" ref="H31:Z33" si="11">H32</f>
        <v>173376</v>
      </c>
      <c r="I31" s="240">
        <f t="shared" si="11"/>
        <v>172000</v>
      </c>
      <c r="J31" s="240">
        <f t="shared" si="11"/>
        <v>172000</v>
      </c>
      <c r="K31" s="240">
        <f t="shared" si="11"/>
        <v>0</v>
      </c>
      <c r="L31" s="240">
        <f t="shared" si="11"/>
        <v>0</v>
      </c>
      <c r="M31" s="240">
        <f t="shared" si="11"/>
        <v>73044</v>
      </c>
      <c r="N31" s="240">
        <f t="shared" si="11"/>
        <v>73044</v>
      </c>
      <c r="O31" s="240">
        <f t="shared" si="11"/>
        <v>21997</v>
      </c>
      <c r="P31" s="240">
        <f t="shared" si="11"/>
        <v>21996</v>
      </c>
      <c r="Q31" s="240">
        <f t="shared" si="11"/>
        <v>42781.5</v>
      </c>
      <c r="R31" s="240">
        <f t="shared" si="11"/>
        <v>42781.5</v>
      </c>
      <c r="S31" s="240">
        <f t="shared" si="11"/>
        <v>70713.75</v>
      </c>
      <c r="T31" s="240">
        <f t="shared" si="11"/>
        <v>70713.75</v>
      </c>
      <c r="U31" s="240">
        <f t="shared" si="11"/>
        <v>166838</v>
      </c>
      <c r="V31" s="240">
        <f t="shared" si="11"/>
        <v>166838</v>
      </c>
      <c r="W31" s="240">
        <f t="shared" si="11"/>
        <v>0</v>
      </c>
      <c r="X31" s="240">
        <f t="shared" si="11"/>
        <v>6294</v>
      </c>
      <c r="Y31" s="240">
        <f t="shared" si="11"/>
        <v>0</v>
      </c>
      <c r="Z31" s="240">
        <f t="shared" si="11"/>
        <v>0</v>
      </c>
      <c r="AA31" s="158"/>
      <c r="AB31" s="260"/>
      <c r="AD31" s="236">
        <f t="shared" si="2"/>
        <v>5162</v>
      </c>
      <c r="AE31" s="236">
        <f t="shared" si="3"/>
        <v>-1132</v>
      </c>
    </row>
    <row r="32" spans="1:31" ht="64.900000000000006" customHeight="1">
      <c r="A32" s="140" t="s">
        <v>43</v>
      </c>
      <c r="B32" s="141" t="s">
        <v>58</v>
      </c>
      <c r="C32" s="167"/>
      <c r="D32" s="167"/>
      <c r="E32" s="167"/>
      <c r="F32" s="167"/>
      <c r="G32" s="168">
        <f>G33</f>
        <v>191209</v>
      </c>
      <c r="H32" s="168">
        <f t="shared" si="11"/>
        <v>173376</v>
      </c>
      <c r="I32" s="168">
        <f t="shared" si="11"/>
        <v>172000</v>
      </c>
      <c r="J32" s="168">
        <f t="shared" si="11"/>
        <v>172000</v>
      </c>
      <c r="K32" s="168">
        <f t="shared" si="11"/>
        <v>0</v>
      </c>
      <c r="L32" s="168">
        <f t="shared" si="11"/>
        <v>0</v>
      </c>
      <c r="M32" s="168">
        <f t="shared" si="11"/>
        <v>73044</v>
      </c>
      <c r="N32" s="168">
        <f t="shared" si="11"/>
        <v>73044</v>
      </c>
      <c r="O32" s="168">
        <f t="shared" si="11"/>
        <v>21997</v>
      </c>
      <c r="P32" s="168">
        <f t="shared" si="11"/>
        <v>21996</v>
      </c>
      <c r="Q32" s="168">
        <f t="shared" si="11"/>
        <v>42781.5</v>
      </c>
      <c r="R32" s="168">
        <f t="shared" si="11"/>
        <v>42781.5</v>
      </c>
      <c r="S32" s="168">
        <f t="shared" si="11"/>
        <v>70713.75</v>
      </c>
      <c r="T32" s="168">
        <f t="shared" si="11"/>
        <v>70713.75</v>
      </c>
      <c r="U32" s="168">
        <f t="shared" si="11"/>
        <v>166838</v>
      </c>
      <c r="V32" s="168">
        <f t="shared" si="11"/>
        <v>166838</v>
      </c>
      <c r="W32" s="168">
        <f t="shared" si="11"/>
        <v>0</v>
      </c>
      <c r="X32" s="168">
        <f t="shared" si="11"/>
        <v>6294</v>
      </c>
      <c r="Y32" s="168">
        <f t="shared" si="11"/>
        <v>0</v>
      </c>
      <c r="Z32" s="168">
        <f t="shared" si="11"/>
        <v>0</v>
      </c>
      <c r="AA32" s="147"/>
      <c r="AB32" s="260"/>
      <c r="AD32" s="236">
        <f t="shared" si="2"/>
        <v>5162</v>
      </c>
      <c r="AE32" s="236">
        <f t="shared" si="3"/>
        <v>-1132</v>
      </c>
    </row>
    <row r="33" spans="1:31" s="226" customFormat="1" ht="64.900000000000006" customHeight="1">
      <c r="A33" s="144" t="s">
        <v>41</v>
      </c>
      <c r="B33" s="145" t="s">
        <v>109</v>
      </c>
      <c r="C33" s="146"/>
      <c r="D33" s="146"/>
      <c r="E33" s="146"/>
      <c r="F33" s="146"/>
      <c r="G33" s="168">
        <f>G34</f>
        <v>191209</v>
      </c>
      <c r="H33" s="168">
        <f t="shared" si="11"/>
        <v>173376</v>
      </c>
      <c r="I33" s="168">
        <f t="shared" si="11"/>
        <v>172000</v>
      </c>
      <c r="J33" s="168">
        <f t="shared" si="11"/>
        <v>172000</v>
      </c>
      <c r="K33" s="168">
        <f t="shared" si="11"/>
        <v>0</v>
      </c>
      <c r="L33" s="168">
        <f t="shared" si="11"/>
        <v>0</v>
      </c>
      <c r="M33" s="168">
        <f t="shared" si="11"/>
        <v>73044</v>
      </c>
      <c r="N33" s="168">
        <f t="shared" si="11"/>
        <v>73044</v>
      </c>
      <c r="O33" s="168">
        <f t="shared" si="11"/>
        <v>21997</v>
      </c>
      <c r="P33" s="168">
        <f t="shared" si="11"/>
        <v>21996</v>
      </c>
      <c r="Q33" s="168">
        <f t="shared" si="11"/>
        <v>42781.5</v>
      </c>
      <c r="R33" s="168">
        <f t="shared" si="11"/>
        <v>42781.5</v>
      </c>
      <c r="S33" s="168">
        <f t="shared" si="11"/>
        <v>70713.75</v>
      </c>
      <c r="T33" s="168">
        <f t="shared" si="11"/>
        <v>70713.75</v>
      </c>
      <c r="U33" s="168">
        <f t="shared" si="11"/>
        <v>166838</v>
      </c>
      <c r="V33" s="168">
        <f t="shared" si="11"/>
        <v>166838</v>
      </c>
      <c r="W33" s="168">
        <f t="shared" si="11"/>
        <v>0</v>
      </c>
      <c r="X33" s="168">
        <f t="shared" si="11"/>
        <v>6294</v>
      </c>
      <c r="Y33" s="168">
        <f t="shared" si="11"/>
        <v>0</v>
      </c>
      <c r="Z33" s="168">
        <f t="shared" si="11"/>
        <v>0</v>
      </c>
      <c r="AA33" s="147"/>
      <c r="AB33" s="255"/>
      <c r="AD33" s="236">
        <f t="shared" si="2"/>
        <v>5162</v>
      </c>
      <c r="AE33" s="236">
        <f t="shared" si="3"/>
        <v>-1132</v>
      </c>
    </row>
    <row r="34" spans="1:31" ht="64.900000000000006" customHeight="1">
      <c r="A34" s="148" t="s">
        <v>46</v>
      </c>
      <c r="B34" s="149" t="s">
        <v>18</v>
      </c>
      <c r="C34" s="150"/>
      <c r="D34" s="150"/>
      <c r="E34" s="150"/>
      <c r="F34" s="150"/>
      <c r="G34" s="169">
        <f>SUM(G35:G36)</f>
        <v>191209</v>
      </c>
      <c r="H34" s="169">
        <f t="shared" ref="H34:Z34" si="12">SUM(H35:H36)</f>
        <v>173376</v>
      </c>
      <c r="I34" s="169">
        <f t="shared" si="12"/>
        <v>172000</v>
      </c>
      <c r="J34" s="169">
        <f t="shared" si="12"/>
        <v>172000</v>
      </c>
      <c r="K34" s="169">
        <f t="shared" si="12"/>
        <v>0</v>
      </c>
      <c r="L34" s="169">
        <f t="shared" si="12"/>
        <v>0</v>
      </c>
      <c r="M34" s="169">
        <f t="shared" si="12"/>
        <v>73044</v>
      </c>
      <c r="N34" s="169">
        <f t="shared" si="12"/>
        <v>73044</v>
      </c>
      <c r="O34" s="169">
        <f t="shared" si="12"/>
        <v>21997</v>
      </c>
      <c r="P34" s="169">
        <f t="shared" si="12"/>
        <v>21996</v>
      </c>
      <c r="Q34" s="169">
        <f t="shared" si="12"/>
        <v>42781.5</v>
      </c>
      <c r="R34" s="169">
        <f t="shared" si="12"/>
        <v>42781.5</v>
      </c>
      <c r="S34" s="169">
        <f t="shared" si="12"/>
        <v>70713.75</v>
      </c>
      <c r="T34" s="169">
        <f t="shared" si="12"/>
        <v>70713.75</v>
      </c>
      <c r="U34" s="169">
        <f t="shared" si="12"/>
        <v>166838</v>
      </c>
      <c r="V34" s="169">
        <f t="shared" si="12"/>
        <v>166838</v>
      </c>
      <c r="W34" s="169">
        <f t="shared" si="12"/>
        <v>0</v>
      </c>
      <c r="X34" s="169">
        <f t="shared" si="12"/>
        <v>6294</v>
      </c>
      <c r="Y34" s="169">
        <f t="shared" si="12"/>
        <v>0</v>
      </c>
      <c r="Z34" s="169">
        <f t="shared" si="12"/>
        <v>0</v>
      </c>
      <c r="AA34" s="152"/>
      <c r="AB34" s="260"/>
      <c r="AD34" s="236">
        <f t="shared" si="2"/>
        <v>5162</v>
      </c>
      <c r="AE34" s="236">
        <f t="shared" si="3"/>
        <v>-1132</v>
      </c>
    </row>
    <row r="35" spans="1:31" ht="64.900000000000006" customHeight="1">
      <c r="A35" s="153" t="s">
        <v>13</v>
      </c>
      <c r="B35" s="154" t="s">
        <v>1318</v>
      </c>
      <c r="C35" s="139" t="s">
        <v>1319</v>
      </c>
      <c r="D35" s="139" t="s">
        <v>1320</v>
      </c>
      <c r="E35" s="139" t="s">
        <v>316</v>
      </c>
      <c r="F35" s="139" t="s">
        <v>1321</v>
      </c>
      <c r="G35" s="170">
        <v>100000</v>
      </c>
      <c r="H35" s="170">
        <v>90000</v>
      </c>
      <c r="I35" s="159">
        <f>J35</f>
        <v>89000</v>
      </c>
      <c r="J35" s="159">
        <v>89000</v>
      </c>
      <c r="K35" s="158"/>
      <c r="L35" s="158"/>
      <c r="M35" s="159">
        <v>26439</v>
      </c>
      <c r="N35" s="171">
        <v>26439</v>
      </c>
      <c r="O35" s="159">
        <v>16282</v>
      </c>
      <c r="P35" s="159">
        <v>16281</v>
      </c>
      <c r="Q35" s="159">
        <v>10158</v>
      </c>
      <c r="R35" s="159">
        <v>10158</v>
      </c>
      <c r="S35" s="159">
        <v>26439</v>
      </c>
      <c r="T35" s="159">
        <v>26439</v>
      </c>
      <c r="U35" s="159">
        <f>V35</f>
        <v>83838</v>
      </c>
      <c r="V35" s="159">
        <f>T35+57399</f>
        <v>83838</v>
      </c>
      <c r="W35" s="159"/>
      <c r="X35" s="159"/>
      <c r="Y35" s="158"/>
      <c r="Z35" s="158"/>
      <c r="AA35" s="242" t="s">
        <v>1295</v>
      </c>
      <c r="AB35" s="260"/>
      <c r="AD35" s="236">
        <f t="shared" si="2"/>
        <v>5162</v>
      </c>
      <c r="AE35" s="236">
        <f t="shared" si="3"/>
        <v>5162</v>
      </c>
    </row>
    <row r="36" spans="1:31" s="226" customFormat="1" ht="64.900000000000006" customHeight="1">
      <c r="A36" s="251">
        <v>2</v>
      </c>
      <c r="B36" s="250" t="s">
        <v>1322</v>
      </c>
      <c r="C36" s="251" t="s">
        <v>1323</v>
      </c>
      <c r="D36" s="251" t="s">
        <v>1324</v>
      </c>
      <c r="E36" s="251" t="s">
        <v>316</v>
      </c>
      <c r="F36" s="251" t="s">
        <v>1325</v>
      </c>
      <c r="G36" s="252">
        <v>91209</v>
      </c>
      <c r="H36" s="252">
        <v>83376</v>
      </c>
      <c r="I36" s="170">
        <v>83000</v>
      </c>
      <c r="J36" s="170">
        <v>83000</v>
      </c>
      <c r="K36" s="158"/>
      <c r="L36" s="158"/>
      <c r="M36" s="159">
        <v>46605</v>
      </c>
      <c r="N36" s="171">
        <v>46605</v>
      </c>
      <c r="O36" s="159">
        <f>P36</f>
        <v>5715</v>
      </c>
      <c r="P36" s="159">
        <v>5715</v>
      </c>
      <c r="Q36" s="159">
        <f>R36</f>
        <v>32623.499999999996</v>
      </c>
      <c r="R36" s="159">
        <f>N36*0.7</f>
        <v>32623.499999999996</v>
      </c>
      <c r="S36" s="159">
        <f>T36</f>
        <v>44274.75</v>
      </c>
      <c r="T36" s="159">
        <f>N36*0.95</f>
        <v>44274.75</v>
      </c>
      <c r="U36" s="159">
        <f>V36</f>
        <v>83000</v>
      </c>
      <c r="V36" s="159">
        <v>83000</v>
      </c>
      <c r="W36" s="159"/>
      <c r="X36" s="171">
        <v>6294</v>
      </c>
      <c r="Y36" s="158"/>
      <c r="Z36" s="158"/>
      <c r="AA36" s="242" t="s">
        <v>1326</v>
      </c>
      <c r="AB36" s="255"/>
      <c r="AD36" s="236">
        <f t="shared" si="2"/>
        <v>0</v>
      </c>
      <c r="AE36" s="236">
        <f t="shared" si="3"/>
        <v>-6294</v>
      </c>
    </row>
    <row r="37" spans="1:31" ht="64.900000000000006" customHeight="1">
      <c r="A37" s="144" t="s">
        <v>44</v>
      </c>
      <c r="B37" s="262" t="s">
        <v>1327</v>
      </c>
      <c r="C37" s="139"/>
      <c r="D37" s="139"/>
      <c r="E37" s="139"/>
      <c r="F37" s="139"/>
      <c r="G37" s="263">
        <f>G38</f>
        <v>243411</v>
      </c>
      <c r="H37" s="263">
        <f t="shared" ref="H37:Z39" si="13">H38</f>
        <v>116280</v>
      </c>
      <c r="I37" s="263">
        <f t="shared" si="13"/>
        <v>217804</v>
      </c>
      <c r="J37" s="263">
        <f t="shared" si="13"/>
        <v>116280</v>
      </c>
      <c r="K37" s="263">
        <f t="shared" si="13"/>
        <v>0</v>
      </c>
      <c r="L37" s="263">
        <f t="shared" si="13"/>
        <v>0</v>
      </c>
      <c r="M37" s="263">
        <f t="shared" si="13"/>
        <v>81209</v>
      </c>
      <c r="N37" s="263">
        <f t="shared" si="13"/>
        <v>50000</v>
      </c>
      <c r="O37" s="263">
        <f t="shared" si="13"/>
        <v>4437</v>
      </c>
      <c r="P37" s="263">
        <f t="shared" si="13"/>
        <v>2324</v>
      </c>
      <c r="Q37" s="263">
        <f t="shared" si="13"/>
        <v>12113</v>
      </c>
      <c r="R37" s="263">
        <f t="shared" si="13"/>
        <v>10000</v>
      </c>
      <c r="S37" s="263">
        <f t="shared" si="13"/>
        <v>22113</v>
      </c>
      <c r="T37" s="263">
        <f t="shared" si="13"/>
        <v>20000</v>
      </c>
      <c r="U37" s="263">
        <f t="shared" si="13"/>
        <v>81209</v>
      </c>
      <c r="V37" s="263">
        <f t="shared" si="13"/>
        <v>79365</v>
      </c>
      <c r="W37" s="263">
        <f t="shared" si="13"/>
        <v>37185</v>
      </c>
      <c r="X37" s="263">
        <f t="shared" si="13"/>
        <v>37185</v>
      </c>
      <c r="Y37" s="263">
        <f t="shared" si="13"/>
        <v>0</v>
      </c>
      <c r="Z37" s="263">
        <f t="shared" si="13"/>
        <v>0</v>
      </c>
      <c r="AA37" s="158"/>
      <c r="AB37" s="260"/>
      <c r="AD37" s="236">
        <f t="shared" si="2"/>
        <v>36915</v>
      </c>
      <c r="AE37" s="236">
        <f t="shared" si="3"/>
        <v>-270</v>
      </c>
    </row>
    <row r="38" spans="1:31" s="226" customFormat="1" ht="64.900000000000006" customHeight="1">
      <c r="A38" s="144" t="s">
        <v>39</v>
      </c>
      <c r="B38" s="145" t="s">
        <v>108</v>
      </c>
      <c r="C38" s="139"/>
      <c r="D38" s="139"/>
      <c r="E38" s="139"/>
      <c r="F38" s="139"/>
      <c r="G38" s="263">
        <f>G39</f>
        <v>243411</v>
      </c>
      <c r="H38" s="263">
        <f t="shared" si="13"/>
        <v>116280</v>
      </c>
      <c r="I38" s="263">
        <f t="shared" si="13"/>
        <v>217804</v>
      </c>
      <c r="J38" s="263">
        <f t="shared" si="13"/>
        <v>116280</v>
      </c>
      <c r="K38" s="263">
        <f t="shared" si="13"/>
        <v>0</v>
      </c>
      <c r="L38" s="263">
        <f t="shared" si="13"/>
        <v>0</v>
      </c>
      <c r="M38" s="263">
        <f t="shared" si="13"/>
        <v>81209</v>
      </c>
      <c r="N38" s="263">
        <f t="shared" si="13"/>
        <v>50000</v>
      </c>
      <c r="O38" s="263">
        <f t="shared" si="13"/>
        <v>4437</v>
      </c>
      <c r="P38" s="263">
        <f t="shared" si="13"/>
        <v>2324</v>
      </c>
      <c r="Q38" s="263">
        <f t="shared" si="13"/>
        <v>12113</v>
      </c>
      <c r="R38" s="263">
        <f t="shared" si="13"/>
        <v>10000</v>
      </c>
      <c r="S38" s="263">
        <f t="shared" si="13"/>
        <v>22113</v>
      </c>
      <c r="T38" s="263">
        <f t="shared" si="13"/>
        <v>20000</v>
      </c>
      <c r="U38" s="263">
        <f t="shared" si="13"/>
        <v>81209</v>
      </c>
      <c r="V38" s="263">
        <f t="shared" si="13"/>
        <v>79365</v>
      </c>
      <c r="W38" s="263">
        <f t="shared" si="13"/>
        <v>37185</v>
      </c>
      <c r="X38" s="263">
        <f t="shared" si="13"/>
        <v>37185</v>
      </c>
      <c r="Y38" s="263">
        <f t="shared" si="13"/>
        <v>0</v>
      </c>
      <c r="Z38" s="263">
        <f t="shared" si="13"/>
        <v>0</v>
      </c>
      <c r="AA38" s="158"/>
      <c r="AB38" s="255"/>
      <c r="AD38" s="236">
        <f t="shared" si="2"/>
        <v>36915</v>
      </c>
      <c r="AE38" s="236">
        <f t="shared" si="3"/>
        <v>-270</v>
      </c>
    </row>
    <row r="39" spans="1:31" ht="64.900000000000006" customHeight="1">
      <c r="A39" s="148" t="s">
        <v>46</v>
      </c>
      <c r="B39" s="149" t="s">
        <v>18</v>
      </c>
      <c r="C39" s="150"/>
      <c r="D39" s="150"/>
      <c r="E39" s="150"/>
      <c r="F39" s="150"/>
      <c r="G39" s="264">
        <f>G40</f>
        <v>243411</v>
      </c>
      <c r="H39" s="264">
        <f t="shared" si="13"/>
        <v>116280</v>
      </c>
      <c r="I39" s="264">
        <f t="shared" si="13"/>
        <v>217804</v>
      </c>
      <c r="J39" s="264">
        <f t="shared" si="13"/>
        <v>116280</v>
      </c>
      <c r="K39" s="264">
        <f t="shared" si="13"/>
        <v>0</v>
      </c>
      <c r="L39" s="264">
        <f t="shared" si="13"/>
        <v>0</v>
      </c>
      <c r="M39" s="264">
        <f t="shared" si="13"/>
        <v>81209</v>
      </c>
      <c r="N39" s="264">
        <f t="shared" si="13"/>
        <v>50000</v>
      </c>
      <c r="O39" s="264">
        <f t="shared" si="13"/>
        <v>4437</v>
      </c>
      <c r="P39" s="264">
        <f t="shared" si="13"/>
        <v>2324</v>
      </c>
      <c r="Q39" s="264">
        <f t="shared" si="13"/>
        <v>12113</v>
      </c>
      <c r="R39" s="264">
        <f t="shared" si="13"/>
        <v>10000</v>
      </c>
      <c r="S39" s="264">
        <f t="shared" si="13"/>
        <v>22113</v>
      </c>
      <c r="T39" s="264">
        <f t="shared" si="13"/>
        <v>20000</v>
      </c>
      <c r="U39" s="264">
        <f t="shared" si="13"/>
        <v>81209</v>
      </c>
      <c r="V39" s="264">
        <f t="shared" si="13"/>
        <v>79365</v>
      </c>
      <c r="W39" s="264">
        <f t="shared" si="13"/>
        <v>37185</v>
      </c>
      <c r="X39" s="264">
        <f t="shared" si="13"/>
        <v>37185</v>
      </c>
      <c r="Y39" s="264">
        <f t="shared" si="13"/>
        <v>0</v>
      </c>
      <c r="Z39" s="264">
        <f t="shared" si="13"/>
        <v>0</v>
      </c>
      <c r="AA39" s="152"/>
      <c r="AB39" s="260"/>
      <c r="AD39" s="236">
        <f t="shared" si="2"/>
        <v>36915</v>
      </c>
      <c r="AE39" s="236">
        <f t="shared" si="3"/>
        <v>-270</v>
      </c>
    </row>
    <row r="40" spans="1:31" ht="64.900000000000006" customHeight="1">
      <c r="A40" s="144" t="s">
        <v>13</v>
      </c>
      <c r="B40" s="250" t="s">
        <v>1328</v>
      </c>
      <c r="C40" s="251" t="s">
        <v>1323</v>
      </c>
      <c r="D40" s="251" t="s">
        <v>1329</v>
      </c>
      <c r="E40" s="251" t="s">
        <v>316</v>
      </c>
      <c r="F40" s="265" t="s">
        <v>1330</v>
      </c>
      <c r="G40" s="252">
        <v>243411</v>
      </c>
      <c r="H40" s="252">
        <v>116280</v>
      </c>
      <c r="I40" s="158">
        <v>217804</v>
      </c>
      <c r="J40" s="252">
        <v>116280</v>
      </c>
      <c r="K40" s="252"/>
      <c r="L40" s="158"/>
      <c r="M40" s="252">
        <v>81209</v>
      </c>
      <c r="N40" s="266">
        <v>50000</v>
      </c>
      <c r="O40" s="267">
        <v>4437</v>
      </c>
      <c r="P40" s="267">
        <v>2324</v>
      </c>
      <c r="Q40" s="267">
        <v>12113</v>
      </c>
      <c r="R40" s="267">
        <v>10000</v>
      </c>
      <c r="S40" s="267">
        <v>22113</v>
      </c>
      <c r="T40" s="267">
        <v>20000</v>
      </c>
      <c r="U40" s="252">
        <v>81209</v>
      </c>
      <c r="V40" s="252">
        <f>21965+7400+50000</f>
        <v>79365</v>
      </c>
      <c r="W40" s="252">
        <f>X40</f>
        <v>37185</v>
      </c>
      <c r="X40" s="266">
        <v>37185</v>
      </c>
      <c r="Y40" s="158"/>
      <c r="Z40" s="158"/>
      <c r="AA40" s="242" t="s">
        <v>1331</v>
      </c>
      <c r="AB40" s="260"/>
      <c r="AD40" s="236">
        <f t="shared" si="2"/>
        <v>36915</v>
      </c>
      <c r="AE40" s="236">
        <f t="shared" si="3"/>
        <v>-270</v>
      </c>
    </row>
    <row r="41" spans="1:31" ht="0.75" customHeight="1">
      <c r="A41" s="268"/>
      <c r="B41" s="269"/>
      <c r="C41" s="270"/>
      <c r="D41" s="270"/>
      <c r="E41" s="270"/>
      <c r="F41" s="270"/>
      <c r="G41" s="271"/>
      <c r="H41" s="271"/>
      <c r="I41" s="271"/>
      <c r="J41" s="271"/>
      <c r="K41" s="271"/>
      <c r="L41" s="271"/>
      <c r="M41" s="271"/>
      <c r="N41" s="271"/>
      <c r="O41" s="271"/>
      <c r="P41" s="271"/>
      <c r="Q41" s="271"/>
      <c r="R41" s="271"/>
      <c r="S41" s="271"/>
      <c r="T41" s="271"/>
      <c r="U41" s="271"/>
      <c r="V41" s="271"/>
      <c r="W41" s="271"/>
      <c r="X41" s="271"/>
      <c r="Y41" s="271"/>
      <c r="Z41" s="271"/>
      <c r="AA41" s="271"/>
    </row>
    <row r="42" spans="1:31" ht="0.75" customHeight="1"/>
    <row r="43" spans="1:31" ht="0.75" customHeight="1"/>
    <row r="44" spans="1:31" ht="0.75" customHeight="1"/>
    <row r="45" spans="1:31" ht="0.75" customHeight="1"/>
    <row r="46" spans="1:31" ht="0.75" customHeight="1"/>
    <row r="47" spans="1:31" ht="0.75" customHeight="1"/>
    <row r="48" spans="1:31" ht="0.75" customHeight="1"/>
    <row r="49" spans="1:27" ht="0.75" customHeight="1"/>
    <row r="50" spans="1:27" ht="0.75" customHeight="1"/>
    <row r="51" spans="1:27" ht="0.75" customHeight="1"/>
    <row r="52" spans="1:27" ht="0.75" customHeight="1"/>
    <row r="53" spans="1:27" ht="0.75" customHeight="1"/>
    <row r="54" spans="1:27" ht="33" hidden="1" customHeight="1">
      <c r="B54" s="230" t="s">
        <v>25</v>
      </c>
    </row>
    <row r="55" spans="1:27" ht="31.7" customHeight="1">
      <c r="B55" s="470"/>
      <c r="C55" s="470"/>
      <c r="D55" s="470"/>
      <c r="E55" s="470"/>
      <c r="F55" s="470"/>
      <c r="G55" s="470"/>
      <c r="H55" s="470"/>
      <c r="I55" s="470"/>
      <c r="J55" s="470"/>
      <c r="K55" s="470"/>
      <c r="L55" s="470"/>
      <c r="M55" s="470"/>
      <c r="N55" s="470"/>
      <c r="O55" s="470"/>
      <c r="P55" s="470"/>
      <c r="Q55" s="470"/>
      <c r="R55" s="470"/>
      <c r="S55" s="470"/>
      <c r="T55" s="470"/>
      <c r="U55" s="470"/>
      <c r="V55" s="470"/>
      <c r="W55" s="275"/>
      <c r="X55" s="275"/>
      <c r="Y55" s="275"/>
      <c r="Z55" s="275"/>
    </row>
    <row r="56" spans="1:27" ht="20.100000000000001" customHeight="1"/>
    <row r="57" spans="1:27">
      <c r="A57" s="276"/>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row>
    <row r="58" spans="1:27">
      <c r="A58" s="276"/>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row>
    <row r="59" spans="1:27">
      <c r="A59" s="276"/>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row>
    <row r="60" spans="1:27">
      <c r="A60" s="276"/>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row>
    <row r="61" spans="1:27">
      <c r="A61" s="276"/>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row>
    <row r="62" spans="1:27">
      <c r="A62" s="276"/>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row>
    <row r="63" spans="1:27">
      <c r="A63" s="276"/>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row>
    <row r="64" spans="1:27">
      <c r="A64" s="276"/>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row>
    <row r="65" spans="1:27">
      <c r="A65" s="276"/>
      <c r="B65" s="230"/>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row>
    <row r="66" spans="1:27">
      <c r="A66" s="276"/>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row>
    <row r="67" spans="1:27">
      <c r="A67" s="276"/>
      <c r="B67" s="230"/>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row>
    <row r="68" spans="1:27">
      <c r="A68" s="276"/>
      <c r="B68" s="230"/>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row>
    <row r="69" spans="1:27">
      <c r="A69" s="276"/>
      <c r="B69" s="230"/>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row>
    <row r="70" spans="1:27">
      <c r="A70" s="276"/>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row>
    <row r="71" spans="1:27">
      <c r="A71" s="276"/>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row>
    <row r="72" spans="1:27">
      <c r="A72" s="276"/>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row>
    <row r="73" spans="1:27">
      <c r="A73" s="276"/>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row>
    <row r="74" spans="1:27">
      <c r="A74" s="276"/>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row>
    <row r="75" spans="1:27">
      <c r="A75" s="276"/>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c r="AA75" s="230"/>
    </row>
    <row r="76" spans="1:27">
      <c r="A76" s="276"/>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row>
    <row r="77" spans="1:27">
      <c r="A77" s="276"/>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row>
    <row r="78" spans="1:27">
      <c r="A78" s="276"/>
      <c r="B78" s="230"/>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row>
    <row r="79" spans="1:27">
      <c r="A79" s="276"/>
      <c r="B79" s="230"/>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c r="AA79" s="230"/>
    </row>
    <row r="80" spans="1:27">
      <c r="A80" s="276"/>
      <c r="B80" s="230"/>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row>
    <row r="81" spans="1:27">
      <c r="A81" s="276"/>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row>
    <row r="82" spans="1:27">
      <c r="A82" s="276"/>
      <c r="B82" s="230"/>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row>
    <row r="83" spans="1:27">
      <c r="A83" s="276"/>
      <c r="B83" s="23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row>
    <row r="84" spans="1:27">
      <c r="A84" s="276"/>
      <c r="B84" s="230"/>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row>
    <row r="85" spans="1:27">
      <c r="A85" s="276"/>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row>
    <row r="86" spans="1:27">
      <c r="A86" s="276"/>
      <c r="B86" s="230"/>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row>
    <row r="87" spans="1:27">
      <c r="A87" s="276"/>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row>
    <row r="88" spans="1:27">
      <c r="A88" s="276"/>
      <c r="B88" s="230"/>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row>
    <row r="89" spans="1:27">
      <c r="A89" s="276"/>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row>
    <row r="90" spans="1:27">
      <c r="A90" s="276"/>
      <c r="B90" s="230"/>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row>
    <row r="91" spans="1:27">
      <c r="A91" s="276"/>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c r="AA91" s="230"/>
    </row>
    <row r="92" spans="1:27">
      <c r="A92" s="276"/>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row>
    <row r="93" spans="1:27">
      <c r="A93" s="276"/>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row>
    <row r="94" spans="1:27">
      <c r="A94" s="276"/>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row>
    <row r="95" spans="1:27">
      <c r="A95" s="276"/>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row>
    <row r="96" spans="1:27">
      <c r="A96" s="276"/>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row>
    <row r="97" spans="1:27">
      <c r="A97" s="276"/>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row>
    <row r="98" spans="1:27">
      <c r="A98" s="276"/>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row>
    <row r="99" spans="1:27">
      <c r="A99" s="276"/>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row>
    <row r="100" spans="1:27">
      <c r="A100" s="276"/>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row>
    <row r="101" spans="1:27">
      <c r="A101" s="276"/>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row>
    <row r="102" spans="1:27">
      <c r="A102" s="276"/>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row>
    <row r="103" spans="1:27">
      <c r="A103" s="276"/>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row>
    <row r="104" spans="1:27">
      <c r="A104" s="276"/>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row>
    <row r="105" spans="1:27">
      <c r="A105" s="276"/>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row>
    <row r="106" spans="1:27">
      <c r="A106" s="276"/>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row>
    <row r="107" spans="1:27">
      <c r="A107" s="276"/>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row>
    <row r="108" spans="1:27">
      <c r="A108" s="276"/>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row>
    <row r="109" spans="1:27">
      <c r="A109" s="276"/>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row>
    <row r="110" spans="1:27">
      <c r="A110" s="276"/>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row>
    <row r="111" spans="1:27">
      <c r="A111" s="276"/>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row>
    <row r="112" spans="1:27">
      <c r="A112" s="276"/>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row>
    <row r="113" spans="1:27">
      <c r="A113" s="276"/>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row>
    <row r="114" spans="1:27">
      <c r="A114" s="276"/>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row>
    <row r="115" spans="1:27">
      <c r="A115" s="276"/>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row>
    <row r="116" spans="1:27">
      <c r="A116" s="276"/>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row>
    <row r="117" spans="1:27">
      <c r="A117" s="276"/>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row>
    <row r="118" spans="1:27">
      <c r="A118" s="276"/>
      <c r="B118" s="230"/>
      <c r="C118" s="230"/>
      <c r="D118" s="230"/>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c r="AA118" s="230"/>
    </row>
    <row r="119" spans="1:27">
      <c r="A119" s="276"/>
      <c r="B119" s="230"/>
      <c r="C119" s="230"/>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row>
    <row r="120" spans="1:27">
      <c r="A120" s="276"/>
      <c r="B120" s="230"/>
      <c r="C120" s="230"/>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row>
    <row r="121" spans="1:27">
      <c r="A121" s="276"/>
      <c r="B121" s="230"/>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row>
    <row r="122" spans="1:27">
      <c r="A122" s="276"/>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row>
    <row r="123" spans="1:27">
      <c r="A123" s="276"/>
      <c r="B123" s="230"/>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row>
    <row r="124" spans="1:27">
      <c r="A124" s="276"/>
      <c r="B124" s="230"/>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row>
    <row r="125" spans="1:27">
      <c r="A125" s="276"/>
      <c r="B125" s="230"/>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row>
    <row r="126" spans="1:27">
      <c r="A126" s="276"/>
      <c r="B126" s="230"/>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row>
    <row r="127" spans="1:27">
      <c r="A127" s="276"/>
      <c r="B127" s="230"/>
      <c r="C127" s="230"/>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row>
    <row r="128" spans="1:27">
      <c r="A128" s="276"/>
      <c r="B128" s="230"/>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row>
    <row r="129" spans="1:27">
      <c r="A129" s="276"/>
      <c r="B129" s="230"/>
      <c r="C129" s="230"/>
      <c r="D129" s="230"/>
      <c r="E129" s="230"/>
      <c r="F129" s="230"/>
      <c r="G129" s="230"/>
      <c r="H129" s="230"/>
      <c r="I129" s="230"/>
      <c r="J129" s="230"/>
      <c r="K129" s="230"/>
      <c r="L129" s="230"/>
      <c r="M129" s="230"/>
      <c r="N129" s="230"/>
      <c r="O129" s="230"/>
      <c r="P129" s="230"/>
      <c r="Q129" s="230"/>
      <c r="R129" s="230"/>
      <c r="S129" s="230"/>
      <c r="T129" s="230"/>
      <c r="U129" s="230"/>
      <c r="V129" s="230"/>
      <c r="W129" s="230"/>
      <c r="X129" s="230"/>
      <c r="Y129" s="230"/>
      <c r="Z129" s="230"/>
      <c r="AA129" s="230"/>
    </row>
    <row r="130" spans="1:27">
      <c r="A130" s="276"/>
      <c r="B130" s="230"/>
      <c r="C130" s="230"/>
      <c r="D130" s="230"/>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c r="AA130" s="230"/>
    </row>
    <row r="131" spans="1:27">
      <c r="A131" s="276"/>
      <c r="B131" s="230"/>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row>
    <row r="132" spans="1:27">
      <c r="A132" s="276"/>
      <c r="B132" s="230"/>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row>
    <row r="133" spans="1:27">
      <c r="A133" s="276"/>
      <c r="B133" s="230"/>
      <c r="C133" s="230"/>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c r="AA133" s="230"/>
    </row>
    <row r="134" spans="1:27">
      <c r="A134" s="276"/>
      <c r="B134" s="230"/>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row>
    <row r="135" spans="1:27">
      <c r="A135" s="276"/>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row>
    <row r="136" spans="1:27">
      <c r="A136" s="276"/>
      <c r="B136" s="230"/>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row>
    <row r="137" spans="1:27">
      <c r="A137" s="276"/>
      <c r="B137" s="230"/>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row>
    <row r="138" spans="1:27">
      <c r="A138" s="276"/>
      <c r="B138" s="230"/>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row>
    <row r="139" spans="1:27">
      <c r="A139" s="276"/>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row>
    <row r="140" spans="1:27">
      <c r="A140" s="276"/>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row>
    <row r="141" spans="1:27">
      <c r="A141" s="276"/>
      <c r="B141" s="230"/>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row>
    <row r="142" spans="1:27">
      <c r="A142" s="276"/>
      <c r="B142" s="230"/>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row>
    <row r="143" spans="1:27">
      <c r="A143" s="276"/>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row>
    <row r="144" spans="1:27">
      <c r="A144" s="276"/>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row>
    <row r="145" spans="1:27">
      <c r="A145" s="276"/>
      <c r="B145" s="230"/>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row>
    <row r="146" spans="1:27">
      <c r="A146" s="276"/>
      <c r="B146" s="230"/>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row>
    <row r="147" spans="1:27">
      <c r="A147" s="276"/>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row>
    <row r="148" spans="1:27">
      <c r="A148" s="276"/>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row>
    <row r="149" spans="1:27">
      <c r="A149" s="276"/>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row>
    <row r="150" spans="1:27">
      <c r="A150" s="276"/>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row>
    <row r="151" spans="1:27">
      <c r="A151" s="276"/>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row>
    <row r="152" spans="1:27">
      <c r="A152" s="276"/>
      <c r="B152" s="23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row>
    <row r="153" spans="1:27">
      <c r="A153" s="276"/>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row>
    <row r="154" spans="1:27">
      <c r="A154" s="276"/>
      <c r="B154" s="23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row>
    <row r="155" spans="1:27">
      <c r="A155" s="276"/>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row>
    <row r="156" spans="1:27">
      <c r="A156" s="276"/>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row>
    <row r="157" spans="1:27">
      <c r="A157" s="276"/>
      <c r="B157" s="23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row>
    <row r="158" spans="1:27">
      <c r="A158" s="276"/>
      <c r="B158" s="23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row>
    <row r="159" spans="1:27">
      <c r="A159" s="276"/>
      <c r="B159" s="230"/>
      <c r="C159" s="230"/>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row>
    <row r="160" spans="1:27">
      <c r="A160" s="276"/>
      <c r="B160" s="230"/>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row>
    <row r="161" spans="1:27">
      <c r="A161" s="276"/>
      <c r="B161" s="230"/>
      <c r="C161" s="230"/>
      <c r="D161" s="230"/>
      <c r="E161" s="230"/>
      <c r="F161" s="230"/>
      <c r="G161" s="230"/>
      <c r="H161" s="230"/>
      <c r="I161" s="230"/>
      <c r="J161" s="230"/>
      <c r="K161" s="230"/>
      <c r="L161" s="230"/>
      <c r="M161" s="230"/>
      <c r="N161" s="230"/>
      <c r="O161" s="230"/>
      <c r="P161" s="230"/>
      <c r="Q161" s="230"/>
      <c r="R161" s="230"/>
      <c r="S161" s="230"/>
      <c r="T161" s="230"/>
      <c r="U161" s="230"/>
      <c r="V161" s="230"/>
      <c r="W161" s="230"/>
      <c r="X161" s="230"/>
      <c r="Y161" s="230"/>
      <c r="Z161" s="230"/>
      <c r="AA161" s="230"/>
    </row>
    <row r="162" spans="1:27">
      <c r="A162" s="276"/>
      <c r="B162" s="230"/>
      <c r="C162" s="230"/>
      <c r="D162" s="230"/>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row>
    <row r="163" spans="1:27">
      <c r="A163" s="276"/>
      <c r="B163" s="230"/>
      <c r="C163" s="230"/>
      <c r="D163" s="230"/>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c r="AA163" s="230"/>
    </row>
    <row r="164" spans="1:27">
      <c r="A164" s="276"/>
      <c r="B164" s="230"/>
      <c r="C164" s="230"/>
      <c r="D164" s="230"/>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row>
    <row r="165" spans="1:27">
      <c r="A165" s="276"/>
      <c r="B165" s="230"/>
      <c r="C165" s="230"/>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row>
    <row r="166" spans="1:27">
      <c r="A166" s="276"/>
      <c r="B166" s="230"/>
      <c r="C166" s="230"/>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row>
    <row r="167" spans="1:27">
      <c r="A167" s="276"/>
      <c r="B167" s="230"/>
      <c r="C167" s="230"/>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row>
    <row r="168" spans="1:27">
      <c r="A168" s="276"/>
      <c r="B168" s="230"/>
      <c r="C168" s="230"/>
      <c r="D168" s="230"/>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c r="AA168" s="230"/>
    </row>
    <row r="169" spans="1:27">
      <c r="A169" s="276"/>
      <c r="B169" s="230"/>
      <c r="C169" s="23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row>
    <row r="170" spans="1:27">
      <c r="A170" s="276"/>
      <c r="B170" s="230"/>
      <c r="C170" s="230"/>
      <c r="D170" s="230"/>
      <c r="E170" s="230"/>
      <c r="F170" s="230"/>
      <c r="G170" s="230"/>
      <c r="H170" s="230"/>
      <c r="I170" s="230"/>
      <c r="J170" s="230"/>
      <c r="K170" s="230"/>
      <c r="L170" s="230"/>
      <c r="M170" s="230"/>
      <c r="N170" s="230"/>
      <c r="O170" s="230"/>
      <c r="P170" s="230"/>
      <c r="Q170" s="230"/>
      <c r="R170" s="230"/>
      <c r="S170" s="230"/>
      <c r="T170" s="230"/>
      <c r="U170" s="230"/>
      <c r="V170" s="230"/>
      <c r="W170" s="230"/>
      <c r="X170" s="230"/>
      <c r="Y170" s="230"/>
      <c r="Z170" s="230"/>
      <c r="AA170" s="230"/>
    </row>
    <row r="171" spans="1:27">
      <c r="A171" s="276"/>
      <c r="B171" s="230"/>
      <c r="C171" s="230"/>
      <c r="D171" s="230"/>
      <c r="E171" s="230"/>
      <c r="F171" s="230"/>
      <c r="G171" s="230"/>
      <c r="H171" s="230"/>
      <c r="I171" s="230"/>
      <c r="J171" s="230"/>
      <c r="K171" s="230"/>
      <c r="L171" s="230"/>
      <c r="M171" s="230"/>
      <c r="N171" s="230"/>
      <c r="O171" s="230"/>
      <c r="P171" s="230"/>
      <c r="Q171" s="230"/>
      <c r="R171" s="230"/>
      <c r="S171" s="230"/>
      <c r="T171" s="230"/>
      <c r="U171" s="230"/>
      <c r="V171" s="230"/>
      <c r="W171" s="230"/>
      <c r="X171" s="230"/>
      <c r="Y171" s="230"/>
      <c r="Z171" s="230"/>
      <c r="AA171" s="230"/>
    </row>
    <row r="172" spans="1:27">
      <c r="A172" s="276"/>
      <c r="B172" s="230"/>
      <c r="C172" s="230"/>
      <c r="D172" s="230"/>
      <c r="E172" s="230"/>
      <c r="F172" s="230"/>
      <c r="G172" s="230"/>
      <c r="H172" s="230"/>
      <c r="I172" s="230"/>
      <c r="J172" s="230"/>
      <c r="K172" s="230"/>
      <c r="L172" s="230"/>
      <c r="M172" s="230"/>
      <c r="N172" s="230"/>
      <c r="O172" s="230"/>
      <c r="P172" s="230"/>
      <c r="Q172" s="230"/>
      <c r="R172" s="230"/>
      <c r="S172" s="230"/>
      <c r="T172" s="230"/>
      <c r="U172" s="230"/>
      <c r="V172" s="230"/>
      <c r="W172" s="230"/>
      <c r="X172" s="230"/>
      <c r="Y172" s="230"/>
      <c r="Z172" s="230"/>
      <c r="AA172" s="230"/>
    </row>
    <row r="173" spans="1:27">
      <c r="A173" s="276"/>
      <c r="B173" s="230"/>
      <c r="C173" s="230"/>
      <c r="D173" s="230"/>
      <c r="E173" s="230"/>
      <c r="F173" s="230"/>
      <c r="G173" s="230"/>
      <c r="H173" s="230"/>
      <c r="I173" s="230"/>
      <c r="J173" s="230"/>
      <c r="K173" s="230"/>
      <c r="L173" s="230"/>
      <c r="M173" s="230"/>
      <c r="N173" s="230"/>
      <c r="O173" s="230"/>
      <c r="P173" s="230"/>
      <c r="Q173" s="230"/>
      <c r="R173" s="230"/>
      <c r="S173" s="230"/>
      <c r="T173" s="230"/>
      <c r="U173" s="230"/>
      <c r="V173" s="230"/>
      <c r="W173" s="230"/>
      <c r="X173" s="230"/>
      <c r="Y173" s="230"/>
      <c r="Z173" s="230"/>
      <c r="AA173" s="230"/>
    </row>
    <row r="174" spans="1:27">
      <c r="A174" s="276"/>
      <c r="B174" s="230"/>
      <c r="C174" s="230"/>
      <c r="D174" s="230"/>
      <c r="E174" s="230"/>
      <c r="F174" s="230"/>
      <c r="G174" s="230"/>
      <c r="H174" s="230"/>
      <c r="I174" s="230"/>
      <c r="J174" s="230"/>
      <c r="K174" s="230"/>
      <c r="L174" s="230"/>
      <c r="M174" s="230"/>
      <c r="N174" s="230"/>
      <c r="O174" s="230"/>
      <c r="P174" s="230"/>
      <c r="Q174" s="230"/>
      <c r="R174" s="230"/>
      <c r="S174" s="230"/>
      <c r="T174" s="230"/>
      <c r="U174" s="230"/>
      <c r="V174" s="230"/>
      <c r="W174" s="230"/>
      <c r="X174" s="230"/>
      <c r="Y174" s="230"/>
      <c r="Z174" s="230"/>
      <c r="AA174" s="230"/>
    </row>
    <row r="175" spans="1:27">
      <c r="A175" s="276"/>
      <c r="B175" s="230"/>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row>
    <row r="176" spans="1:27">
      <c r="A176" s="276"/>
      <c r="B176" s="230"/>
      <c r="C176" s="230"/>
      <c r="D176" s="230"/>
      <c r="E176" s="230"/>
      <c r="F176" s="230"/>
      <c r="G176" s="230"/>
      <c r="H176" s="230"/>
      <c r="I176" s="230"/>
      <c r="J176" s="230"/>
      <c r="K176" s="230"/>
      <c r="L176" s="230"/>
      <c r="M176" s="230"/>
      <c r="N176" s="230"/>
      <c r="O176" s="230"/>
      <c r="P176" s="230"/>
      <c r="Q176" s="230"/>
      <c r="R176" s="230"/>
      <c r="S176" s="230"/>
      <c r="T176" s="230"/>
      <c r="U176" s="230"/>
      <c r="V176" s="230"/>
      <c r="W176" s="230"/>
      <c r="X176" s="230"/>
      <c r="Y176" s="230"/>
      <c r="Z176" s="230"/>
      <c r="AA176" s="230"/>
    </row>
    <row r="177" spans="1:27">
      <c r="A177" s="276"/>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row>
    <row r="178" spans="1:27">
      <c r="A178" s="276"/>
      <c r="B178" s="230"/>
      <c r="C178" s="230"/>
      <c r="D178" s="230"/>
      <c r="E178" s="230"/>
      <c r="F178" s="230"/>
      <c r="G178" s="230"/>
      <c r="H178" s="230"/>
      <c r="I178" s="230"/>
      <c r="J178" s="230"/>
      <c r="K178" s="230"/>
      <c r="L178" s="230"/>
      <c r="M178" s="230"/>
      <c r="N178" s="230"/>
      <c r="O178" s="230"/>
      <c r="P178" s="230"/>
      <c r="Q178" s="230"/>
      <c r="R178" s="230"/>
      <c r="S178" s="230"/>
      <c r="T178" s="230"/>
      <c r="U178" s="230"/>
      <c r="V178" s="230"/>
      <c r="W178" s="230"/>
      <c r="X178" s="230"/>
      <c r="Y178" s="230"/>
      <c r="Z178" s="230"/>
      <c r="AA178" s="230"/>
    </row>
    <row r="179" spans="1:27">
      <c r="A179" s="276"/>
      <c r="B179" s="230"/>
      <c r="C179" s="230"/>
      <c r="D179" s="230"/>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c r="AA179" s="230"/>
    </row>
    <row r="180" spans="1:27">
      <c r="A180" s="276"/>
      <c r="B180" s="230"/>
      <c r="C180" s="230"/>
      <c r="D180" s="230"/>
      <c r="E180" s="230"/>
      <c r="F180" s="230"/>
      <c r="G180" s="230"/>
      <c r="H180" s="230"/>
      <c r="I180" s="230"/>
      <c r="J180" s="230"/>
      <c r="K180" s="230"/>
      <c r="L180" s="230"/>
      <c r="M180" s="230"/>
      <c r="N180" s="230"/>
      <c r="O180" s="230"/>
      <c r="P180" s="230"/>
      <c r="Q180" s="230"/>
      <c r="R180" s="230"/>
      <c r="S180" s="230"/>
      <c r="T180" s="230"/>
      <c r="U180" s="230"/>
      <c r="V180" s="230"/>
      <c r="W180" s="230"/>
      <c r="X180" s="230"/>
      <c r="Y180" s="230"/>
      <c r="Z180" s="230"/>
      <c r="AA180" s="230"/>
    </row>
    <row r="181" spans="1:27">
      <c r="A181" s="276"/>
      <c r="B181" s="230"/>
      <c r="C181" s="230"/>
      <c r="D181" s="230"/>
      <c r="E181" s="230"/>
      <c r="F181" s="230"/>
      <c r="G181" s="230"/>
      <c r="H181" s="230"/>
      <c r="I181" s="230"/>
      <c r="J181" s="230"/>
      <c r="K181" s="230"/>
      <c r="L181" s="230"/>
      <c r="M181" s="230"/>
      <c r="N181" s="230"/>
      <c r="O181" s="230"/>
      <c r="P181" s="230"/>
      <c r="Q181" s="230"/>
      <c r="R181" s="230"/>
      <c r="S181" s="230"/>
      <c r="T181" s="230"/>
      <c r="U181" s="230"/>
      <c r="V181" s="230"/>
      <c r="W181" s="230"/>
      <c r="X181" s="230"/>
      <c r="Y181" s="230"/>
      <c r="Z181" s="230"/>
      <c r="AA181" s="230"/>
    </row>
    <row r="182" spans="1:27">
      <c r="A182" s="276"/>
      <c r="B182" s="230"/>
      <c r="C182" s="230"/>
      <c r="D182" s="230"/>
      <c r="E182" s="230"/>
      <c r="F182" s="230"/>
      <c r="G182" s="230"/>
      <c r="H182" s="230"/>
      <c r="I182" s="230"/>
      <c r="J182" s="230"/>
      <c r="K182" s="230"/>
      <c r="L182" s="230"/>
      <c r="M182" s="230"/>
      <c r="N182" s="230"/>
      <c r="O182" s="230"/>
      <c r="P182" s="230"/>
      <c r="Q182" s="230"/>
      <c r="R182" s="230"/>
      <c r="S182" s="230"/>
      <c r="T182" s="230"/>
      <c r="U182" s="230"/>
      <c r="V182" s="230"/>
      <c r="W182" s="230"/>
      <c r="X182" s="230"/>
      <c r="Y182" s="230"/>
      <c r="Z182" s="230"/>
      <c r="AA182" s="230"/>
    </row>
    <row r="183" spans="1:27">
      <c r="A183" s="276"/>
      <c r="B183" s="230"/>
      <c r="C183" s="230"/>
      <c r="D183" s="230"/>
      <c r="E183" s="230"/>
      <c r="F183" s="230"/>
      <c r="G183" s="230"/>
      <c r="H183" s="230"/>
      <c r="I183" s="230"/>
      <c r="J183" s="230"/>
      <c r="K183" s="230"/>
      <c r="L183" s="230"/>
      <c r="M183" s="230"/>
      <c r="N183" s="230"/>
      <c r="O183" s="230"/>
      <c r="P183" s="230"/>
      <c r="Q183" s="230"/>
      <c r="R183" s="230"/>
      <c r="S183" s="230"/>
      <c r="T183" s="230"/>
      <c r="U183" s="230"/>
      <c r="V183" s="230"/>
      <c r="W183" s="230"/>
      <c r="X183" s="230"/>
      <c r="Y183" s="230"/>
      <c r="Z183" s="230"/>
      <c r="AA183" s="230"/>
    </row>
    <row r="184" spans="1:27">
      <c r="A184" s="276"/>
      <c r="B184" s="230"/>
      <c r="C184" s="230"/>
      <c r="D184" s="230"/>
      <c r="E184" s="230"/>
      <c r="F184" s="230"/>
      <c r="G184" s="230"/>
      <c r="H184" s="230"/>
      <c r="I184" s="230"/>
      <c r="J184" s="230"/>
      <c r="K184" s="230"/>
      <c r="L184" s="230"/>
      <c r="M184" s="230"/>
      <c r="N184" s="230"/>
      <c r="O184" s="230"/>
      <c r="P184" s="230"/>
      <c r="Q184" s="230"/>
      <c r="R184" s="230"/>
      <c r="S184" s="230"/>
      <c r="T184" s="230"/>
      <c r="U184" s="230"/>
      <c r="V184" s="230"/>
      <c r="W184" s="230"/>
      <c r="X184" s="230"/>
      <c r="Y184" s="230"/>
      <c r="Z184" s="230"/>
      <c r="AA184" s="230"/>
    </row>
    <row r="185" spans="1:27">
      <c r="A185" s="276"/>
      <c r="B185" s="230"/>
      <c r="C185" s="230"/>
      <c r="D185" s="230"/>
      <c r="E185" s="230"/>
      <c r="F185" s="230"/>
      <c r="G185" s="230"/>
      <c r="H185" s="230"/>
      <c r="I185" s="230"/>
      <c r="J185" s="230"/>
      <c r="K185" s="230"/>
      <c r="L185" s="230"/>
      <c r="M185" s="230"/>
      <c r="N185" s="230"/>
      <c r="O185" s="230"/>
      <c r="P185" s="230"/>
      <c r="Q185" s="230"/>
      <c r="R185" s="230"/>
      <c r="S185" s="230"/>
      <c r="T185" s="230"/>
      <c r="U185" s="230"/>
      <c r="V185" s="230"/>
      <c r="W185" s="230"/>
      <c r="X185" s="230"/>
      <c r="Y185" s="230"/>
      <c r="Z185" s="230"/>
      <c r="AA185" s="230"/>
    </row>
    <row r="186" spans="1:27">
      <c r="A186" s="276"/>
      <c r="B186" s="230"/>
      <c r="C186" s="230"/>
      <c r="D186" s="230"/>
      <c r="E186" s="230"/>
      <c r="F186" s="230"/>
      <c r="G186" s="230"/>
      <c r="H186" s="230"/>
      <c r="I186" s="230"/>
      <c r="J186" s="230"/>
      <c r="K186" s="230"/>
      <c r="L186" s="230"/>
      <c r="M186" s="230"/>
      <c r="N186" s="230"/>
      <c r="O186" s="230"/>
      <c r="P186" s="230"/>
      <c r="Q186" s="230"/>
      <c r="R186" s="230"/>
      <c r="S186" s="230"/>
      <c r="T186" s="230"/>
      <c r="U186" s="230"/>
      <c r="V186" s="230"/>
      <c r="W186" s="230"/>
      <c r="X186" s="230"/>
      <c r="Y186" s="230"/>
      <c r="Z186" s="230"/>
      <c r="AA186" s="230"/>
    </row>
    <row r="187" spans="1:27">
      <c r="A187" s="276"/>
      <c r="B187" s="230"/>
      <c r="C187" s="230"/>
      <c r="D187" s="230"/>
      <c r="E187" s="230"/>
      <c r="F187" s="230"/>
      <c r="G187" s="230"/>
      <c r="H187" s="230"/>
      <c r="I187" s="230"/>
      <c r="J187" s="230"/>
      <c r="K187" s="230"/>
      <c r="L187" s="230"/>
      <c r="M187" s="230"/>
      <c r="N187" s="230"/>
      <c r="O187" s="230"/>
      <c r="P187" s="230"/>
      <c r="Q187" s="230"/>
      <c r="R187" s="230"/>
      <c r="S187" s="230"/>
      <c r="T187" s="230"/>
      <c r="U187" s="230"/>
      <c r="V187" s="230"/>
      <c r="W187" s="230"/>
      <c r="X187" s="230"/>
      <c r="Y187" s="230"/>
      <c r="Z187" s="230"/>
      <c r="AA187" s="230"/>
    </row>
    <row r="188" spans="1:27">
      <c r="A188" s="276"/>
      <c r="B188" s="230"/>
      <c r="C188" s="230"/>
      <c r="D188" s="230"/>
      <c r="E188" s="230"/>
      <c r="F188" s="230"/>
      <c r="G188" s="230"/>
      <c r="H188" s="230"/>
      <c r="I188" s="230"/>
      <c r="J188" s="230"/>
      <c r="K188" s="230"/>
      <c r="L188" s="230"/>
      <c r="M188" s="230"/>
      <c r="N188" s="230"/>
      <c r="O188" s="230"/>
      <c r="P188" s="230"/>
      <c r="Q188" s="230"/>
      <c r="R188" s="230"/>
      <c r="S188" s="230"/>
      <c r="T188" s="230"/>
      <c r="U188" s="230"/>
      <c r="V188" s="230"/>
      <c r="W188" s="230"/>
      <c r="X188" s="230"/>
      <c r="Y188" s="230"/>
      <c r="Z188" s="230"/>
      <c r="AA188" s="230"/>
    </row>
    <row r="189" spans="1:27">
      <c r="A189" s="276"/>
      <c r="B189" s="230"/>
      <c r="C189" s="230"/>
      <c r="D189" s="230"/>
      <c r="E189" s="230"/>
      <c r="F189" s="230"/>
      <c r="G189" s="230"/>
      <c r="H189" s="230"/>
      <c r="I189" s="230"/>
      <c r="J189" s="230"/>
      <c r="K189" s="230"/>
      <c r="L189" s="230"/>
      <c r="M189" s="230"/>
      <c r="N189" s="230"/>
      <c r="O189" s="230"/>
      <c r="P189" s="230"/>
      <c r="Q189" s="230"/>
      <c r="R189" s="230"/>
      <c r="S189" s="230"/>
      <c r="T189" s="230"/>
      <c r="U189" s="230"/>
      <c r="V189" s="230"/>
      <c r="W189" s="230"/>
      <c r="X189" s="230"/>
      <c r="Y189" s="230"/>
      <c r="Z189" s="230"/>
      <c r="AA189" s="230"/>
    </row>
    <row r="190" spans="1:27">
      <c r="A190" s="276"/>
      <c r="B190" s="230"/>
      <c r="C190" s="230"/>
      <c r="D190" s="230"/>
      <c r="E190" s="230"/>
      <c r="F190" s="230"/>
      <c r="G190" s="230"/>
      <c r="H190" s="230"/>
      <c r="I190" s="230"/>
      <c r="J190" s="230"/>
      <c r="K190" s="230"/>
      <c r="L190" s="230"/>
      <c r="M190" s="230"/>
      <c r="N190" s="230"/>
      <c r="O190" s="230"/>
      <c r="P190" s="230"/>
      <c r="Q190" s="230"/>
      <c r="R190" s="230"/>
      <c r="S190" s="230"/>
      <c r="T190" s="230"/>
      <c r="U190" s="230"/>
      <c r="V190" s="230"/>
      <c r="W190" s="230"/>
      <c r="X190" s="230"/>
      <c r="Y190" s="230"/>
      <c r="Z190" s="230"/>
      <c r="AA190" s="230"/>
    </row>
    <row r="191" spans="1:27">
      <c r="A191" s="276"/>
      <c r="B191" s="230"/>
      <c r="C191" s="230"/>
      <c r="D191" s="230"/>
      <c r="E191" s="230"/>
      <c r="F191" s="230"/>
      <c r="G191" s="230"/>
      <c r="H191" s="230"/>
      <c r="I191" s="230"/>
      <c r="J191" s="230"/>
      <c r="K191" s="230"/>
      <c r="L191" s="230"/>
      <c r="M191" s="230"/>
      <c r="N191" s="230"/>
      <c r="O191" s="230"/>
      <c r="P191" s="230"/>
      <c r="Q191" s="230"/>
      <c r="R191" s="230"/>
      <c r="S191" s="230"/>
      <c r="T191" s="230"/>
      <c r="U191" s="230"/>
      <c r="V191" s="230"/>
      <c r="W191" s="230"/>
      <c r="X191" s="230"/>
      <c r="Y191" s="230"/>
      <c r="Z191" s="230"/>
      <c r="AA191" s="230"/>
    </row>
    <row r="192" spans="1:27">
      <c r="A192" s="276"/>
      <c r="B192" s="230"/>
      <c r="C192" s="230"/>
      <c r="D192" s="230"/>
      <c r="E192" s="230"/>
      <c r="F192" s="230"/>
      <c r="G192" s="230"/>
      <c r="H192" s="230"/>
      <c r="I192" s="230"/>
      <c r="J192" s="230"/>
      <c r="K192" s="230"/>
      <c r="L192" s="230"/>
      <c r="M192" s="230"/>
      <c r="N192" s="230"/>
      <c r="O192" s="230"/>
      <c r="P192" s="230"/>
      <c r="Q192" s="230"/>
      <c r="R192" s="230"/>
      <c r="S192" s="230"/>
      <c r="T192" s="230"/>
      <c r="U192" s="230"/>
      <c r="V192" s="230"/>
      <c r="W192" s="230"/>
      <c r="X192" s="230"/>
      <c r="Y192" s="230"/>
      <c r="Z192" s="230"/>
      <c r="AA192" s="230"/>
    </row>
    <row r="193" spans="1:27">
      <c r="A193" s="276"/>
      <c r="B193" s="230"/>
      <c r="C193" s="230"/>
      <c r="D193" s="230"/>
      <c r="E193" s="230"/>
      <c r="F193" s="230"/>
      <c r="G193" s="230"/>
      <c r="H193" s="230"/>
      <c r="I193" s="230"/>
      <c r="J193" s="230"/>
      <c r="K193" s="230"/>
      <c r="L193" s="230"/>
      <c r="M193" s="230"/>
      <c r="N193" s="230"/>
      <c r="O193" s="230"/>
      <c r="P193" s="230"/>
      <c r="Q193" s="230"/>
      <c r="R193" s="230"/>
      <c r="S193" s="230"/>
      <c r="T193" s="230"/>
      <c r="U193" s="230"/>
      <c r="V193" s="230"/>
      <c r="W193" s="230"/>
      <c r="X193" s="230"/>
      <c r="Y193" s="230"/>
      <c r="Z193" s="230"/>
      <c r="AA193" s="230"/>
    </row>
    <row r="194" spans="1:27">
      <c r="A194" s="276"/>
      <c r="B194" s="230"/>
      <c r="C194" s="230"/>
      <c r="D194" s="230"/>
      <c r="E194" s="230"/>
      <c r="F194" s="230"/>
      <c r="G194" s="230"/>
      <c r="H194" s="230"/>
      <c r="I194" s="230"/>
      <c r="J194" s="230"/>
      <c r="K194" s="230"/>
      <c r="L194" s="230"/>
      <c r="M194" s="230"/>
      <c r="N194" s="230"/>
      <c r="O194" s="230"/>
      <c r="P194" s="230"/>
      <c r="Q194" s="230"/>
      <c r="R194" s="230"/>
      <c r="S194" s="230"/>
      <c r="T194" s="230"/>
      <c r="U194" s="230"/>
      <c r="V194" s="230"/>
      <c r="W194" s="230"/>
      <c r="X194" s="230"/>
      <c r="Y194" s="230"/>
      <c r="Z194" s="230"/>
      <c r="AA194" s="230"/>
    </row>
    <row r="195" spans="1:27">
      <c r="A195" s="276"/>
      <c r="B195" s="230"/>
      <c r="C195" s="230"/>
      <c r="D195" s="230"/>
      <c r="E195" s="230"/>
      <c r="F195" s="230"/>
      <c r="G195" s="230"/>
      <c r="H195" s="230"/>
      <c r="I195" s="230"/>
      <c r="J195" s="230"/>
      <c r="K195" s="230"/>
      <c r="L195" s="230"/>
      <c r="M195" s="230"/>
      <c r="N195" s="230"/>
      <c r="O195" s="230"/>
      <c r="P195" s="230"/>
      <c r="Q195" s="230"/>
      <c r="R195" s="230"/>
      <c r="S195" s="230"/>
      <c r="T195" s="230"/>
      <c r="U195" s="230"/>
      <c r="V195" s="230"/>
      <c r="W195" s="230"/>
      <c r="X195" s="230"/>
      <c r="Y195" s="230"/>
      <c r="Z195" s="230"/>
      <c r="AA195" s="230"/>
    </row>
    <row r="196" spans="1:27">
      <c r="A196" s="276"/>
      <c r="B196" s="230"/>
      <c r="C196" s="230"/>
      <c r="D196" s="230"/>
      <c r="E196" s="230"/>
      <c r="F196" s="230"/>
      <c r="G196" s="230"/>
      <c r="H196" s="230"/>
      <c r="I196" s="230"/>
      <c r="J196" s="230"/>
      <c r="K196" s="230"/>
      <c r="L196" s="230"/>
      <c r="M196" s="230"/>
      <c r="N196" s="230"/>
      <c r="O196" s="230"/>
      <c r="P196" s="230"/>
      <c r="Q196" s="230"/>
      <c r="R196" s="230"/>
      <c r="S196" s="230"/>
      <c r="T196" s="230"/>
      <c r="U196" s="230"/>
      <c r="V196" s="230"/>
      <c r="W196" s="230"/>
      <c r="X196" s="230"/>
      <c r="Y196" s="230"/>
      <c r="Z196" s="230"/>
      <c r="AA196" s="230"/>
    </row>
    <row r="197" spans="1:27">
      <c r="A197" s="276"/>
      <c r="B197" s="230"/>
      <c r="C197" s="230"/>
      <c r="D197" s="230"/>
      <c r="E197" s="230"/>
      <c r="F197" s="230"/>
      <c r="G197" s="230"/>
      <c r="H197" s="230"/>
      <c r="I197" s="230"/>
      <c r="J197" s="230"/>
      <c r="K197" s="230"/>
      <c r="L197" s="230"/>
      <c r="M197" s="230"/>
      <c r="N197" s="230"/>
      <c r="O197" s="230"/>
      <c r="P197" s="230"/>
      <c r="Q197" s="230"/>
      <c r="R197" s="230"/>
      <c r="S197" s="230"/>
      <c r="T197" s="230"/>
      <c r="U197" s="230"/>
      <c r="V197" s="230"/>
      <c r="W197" s="230"/>
      <c r="X197" s="230"/>
      <c r="Y197" s="230"/>
      <c r="Z197" s="230"/>
      <c r="AA197" s="230"/>
    </row>
    <row r="198" spans="1:27">
      <c r="A198" s="276"/>
      <c r="B198" s="230"/>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0"/>
      <c r="Z198" s="230"/>
      <c r="AA198" s="230"/>
    </row>
    <row r="199" spans="1:27">
      <c r="A199" s="276"/>
      <c r="B199" s="230"/>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0"/>
      <c r="Z199" s="230"/>
      <c r="AA199" s="230"/>
    </row>
    <row r="200" spans="1:27">
      <c r="A200" s="276"/>
      <c r="B200" s="230"/>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30"/>
      <c r="AA200" s="230"/>
    </row>
    <row r="201" spans="1:27">
      <c r="A201" s="276"/>
      <c r="B201" s="230"/>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0"/>
      <c r="Z201" s="230"/>
      <c r="AA201" s="230"/>
    </row>
    <row r="202" spans="1:27">
      <c r="A202" s="276"/>
      <c r="B202" s="230"/>
      <c r="C202" s="230"/>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0"/>
      <c r="Z202" s="230"/>
      <c r="AA202" s="230"/>
    </row>
    <row r="203" spans="1:27">
      <c r="A203" s="276"/>
      <c r="B203" s="230"/>
      <c r="C203" s="230"/>
      <c r="D203" s="230"/>
      <c r="E203" s="230"/>
      <c r="F203" s="230"/>
      <c r="G203" s="230"/>
      <c r="H203" s="230"/>
      <c r="I203" s="230"/>
      <c r="J203" s="230"/>
      <c r="K203" s="230"/>
      <c r="L203" s="230"/>
      <c r="M203" s="230"/>
      <c r="N203" s="230"/>
      <c r="O203" s="230"/>
      <c r="P203" s="230"/>
      <c r="Q203" s="230"/>
      <c r="R203" s="230"/>
      <c r="S203" s="230"/>
      <c r="T203" s="230"/>
      <c r="U203" s="230"/>
      <c r="V203" s="230"/>
      <c r="W203" s="230"/>
      <c r="X203" s="230"/>
      <c r="Y203" s="230"/>
      <c r="Z203" s="230"/>
      <c r="AA203" s="230"/>
    </row>
    <row r="204" spans="1:27">
      <c r="A204" s="276"/>
      <c r="B204" s="230"/>
      <c r="C204" s="230"/>
      <c r="D204" s="230"/>
      <c r="E204" s="230"/>
      <c r="F204" s="230"/>
      <c r="G204" s="230"/>
      <c r="H204" s="230"/>
      <c r="I204" s="230"/>
      <c r="J204" s="230"/>
      <c r="K204" s="230"/>
      <c r="L204" s="230"/>
      <c r="M204" s="230"/>
      <c r="N204" s="230"/>
      <c r="O204" s="230"/>
      <c r="P204" s="230"/>
      <c r="Q204" s="230"/>
      <c r="R204" s="230"/>
      <c r="S204" s="230"/>
      <c r="T204" s="230"/>
      <c r="U204" s="230"/>
      <c r="V204" s="230"/>
      <c r="W204" s="230"/>
      <c r="X204" s="230"/>
      <c r="Y204" s="230"/>
      <c r="Z204" s="230"/>
      <c r="AA204" s="230"/>
    </row>
    <row r="205" spans="1:27">
      <c r="A205" s="276"/>
      <c r="B205" s="230"/>
      <c r="C205" s="230"/>
      <c r="D205" s="230"/>
      <c r="E205" s="230"/>
      <c r="F205" s="230"/>
      <c r="G205" s="230"/>
      <c r="H205" s="230"/>
      <c r="I205" s="230"/>
      <c r="J205" s="230"/>
      <c r="K205" s="230"/>
      <c r="L205" s="230"/>
      <c r="M205" s="230"/>
      <c r="N205" s="230"/>
      <c r="O205" s="230"/>
      <c r="P205" s="230"/>
      <c r="Q205" s="230"/>
      <c r="R205" s="230"/>
      <c r="S205" s="230"/>
      <c r="T205" s="230"/>
      <c r="U205" s="230"/>
      <c r="V205" s="230"/>
      <c r="W205" s="230"/>
      <c r="X205" s="230"/>
      <c r="Y205" s="230"/>
      <c r="Z205" s="230"/>
      <c r="AA205" s="230"/>
    </row>
    <row r="206" spans="1:27">
      <c r="A206" s="276"/>
      <c r="B206" s="230"/>
      <c r="C206" s="230"/>
      <c r="D206" s="230"/>
      <c r="E206" s="230"/>
      <c r="F206" s="230"/>
      <c r="G206" s="230"/>
      <c r="H206" s="230"/>
      <c r="I206" s="230"/>
      <c r="J206" s="230"/>
      <c r="K206" s="230"/>
      <c r="L206" s="230"/>
      <c r="M206" s="230"/>
      <c r="N206" s="230"/>
      <c r="O206" s="230"/>
      <c r="P206" s="230"/>
      <c r="Q206" s="230"/>
      <c r="R206" s="230"/>
      <c r="S206" s="230"/>
      <c r="T206" s="230"/>
      <c r="U206" s="230"/>
      <c r="V206" s="230"/>
      <c r="W206" s="230"/>
      <c r="X206" s="230"/>
      <c r="Y206" s="230"/>
      <c r="Z206" s="230"/>
      <c r="AA206" s="230"/>
    </row>
    <row r="207" spans="1:27">
      <c r="A207" s="276"/>
      <c r="B207" s="230"/>
      <c r="C207" s="230"/>
      <c r="D207" s="230"/>
      <c r="E207" s="230"/>
      <c r="F207" s="230"/>
      <c r="G207" s="230"/>
      <c r="H207" s="230"/>
      <c r="I207" s="230"/>
      <c r="J207" s="230"/>
      <c r="K207" s="230"/>
      <c r="L207" s="230"/>
      <c r="M207" s="230"/>
      <c r="N207" s="230"/>
      <c r="O207" s="230"/>
      <c r="P207" s="230"/>
      <c r="Q207" s="230"/>
      <c r="R207" s="230"/>
      <c r="S207" s="230"/>
      <c r="T207" s="230"/>
      <c r="U207" s="230"/>
      <c r="V207" s="230"/>
      <c r="W207" s="230"/>
      <c r="X207" s="230"/>
      <c r="Y207" s="230"/>
      <c r="Z207" s="230"/>
      <c r="AA207" s="230"/>
    </row>
    <row r="208" spans="1:27">
      <c r="A208" s="276"/>
      <c r="B208" s="230"/>
      <c r="C208" s="230"/>
      <c r="D208" s="230"/>
      <c r="E208" s="230"/>
      <c r="F208" s="230"/>
      <c r="G208" s="230"/>
      <c r="H208" s="230"/>
      <c r="I208" s="230"/>
      <c r="J208" s="230"/>
      <c r="K208" s="230"/>
      <c r="L208" s="230"/>
      <c r="M208" s="230"/>
      <c r="N208" s="230"/>
      <c r="O208" s="230"/>
      <c r="P208" s="230"/>
      <c r="Q208" s="230"/>
      <c r="R208" s="230"/>
      <c r="S208" s="230"/>
      <c r="T208" s="230"/>
      <c r="U208" s="230"/>
      <c r="V208" s="230"/>
      <c r="W208" s="230"/>
      <c r="X208" s="230"/>
      <c r="Y208" s="230"/>
      <c r="Z208" s="230"/>
      <c r="AA208" s="230"/>
    </row>
    <row r="209" spans="1:27">
      <c r="A209" s="276"/>
      <c r="B209" s="230"/>
      <c r="C209" s="230"/>
      <c r="D209" s="230"/>
      <c r="E209" s="230"/>
      <c r="F209" s="230"/>
      <c r="G209" s="230"/>
      <c r="H209" s="230"/>
      <c r="I209" s="230"/>
      <c r="J209" s="230"/>
      <c r="K209" s="230"/>
      <c r="L209" s="230"/>
      <c r="M209" s="230"/>
      <c r="N209" s="230"/>
      <c r="O209" s="230"/>
      <c r="P209" s="230"/>
      <c r="Q209" s="230"/>
      <c r="R209" s="230"/>
      <c r="S209" s="230"/>
      <c r="T209" s="230"/>
      <c r="U209" s="230"/>
      <c r="V209" s="230"/>
      <c r="W209" s="230"/>
      <c r="X209" s="230"/>
      <c r="Y209" s="230"/>
      <c r="Z209" s="230"/>
      <c r="AA209" s="230"/>
    </row>
    <row r="210" spans="1:27">
      <c r="A210" s="276"/>
      <c r="B210" s="230"/>
      <c r="C210" s="230"/>
      <c r="D210" s="230"/>
      <c r="E210" s="230"/>
      <c r="F210" s="230"/>
      <c r="G210" s="230"/>
      <c r="H210" s="230"/>
      <c r="I210" s="230"/>
      <c r="J210" s="230"/>
      <c r="K210" s="230"/>
      <c r="L210" s="230"/>
      <c r="M210" s="230"/>
      <c r="N210" s="230"/>
      <c r="O210" s="230"/>
      <c r="P210" s="230"/>
      <c r="Q210" s="230"/>
      <c r="R210" s="230"/>
      <c r="S210" s="230"/>
      <c r="T210" s="230"/>
      <c r="U210" s="230"/>
      <c r="V210" s="230"/>
      <c r="W210" s="230"/>
      <c r="X210" s="230"/>
      <c r="Y210" s="230"/>
      <c r="Z210" s="230"/>
      <c r="AA210" s="230"/>
    </row>
    <row r="211" spans="1:27">
      <c r="A211" s="276"/>
      <c r="B211" s="230"/>
      <c r="C211" s="230"/>
      <c r="D211" s="230"/>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30"/>
      <c r="AA211" s="230"/>
    </row>
    <row r="212" spans="1:27">
      <c r="A212" s="276"/>
      <c r="B212" s="230"/>
      <c r="C212" s="230"/>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row>
    <row r="213" spans="1:27">
      <c r="A213" s="276"/>
      <c r="B213" s="230"/>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row>
    <row r="214" spans="1:27">
      <c r="A214" s="276"/>
      <c r="B214" s="230"/>
      <c r="C214" s="230"/>
      <c r="D214" s="230"/>
      <c r="E214" s="230"/>
      <c r="F214" s="230"/>
      <c r="G214" s="230"/>
      <c r="H214" s="230"/>
      <c r="I214" s="230"/>
      <c r="J214" s="230"/>
      <c r="K214" s="230"/>
      <c r="L214" s="230"/>
      <c r="M214" s="230"/>
      <c r="N214" s="230"/>
      <c r="O214" s="230"/>
      <c r="P214" s="230"/>
      <c r="Q214" s="230"/>
      <c r="R214" s="230"/>
      <c r="S214" s="230"/>
      <c r="T214" s="230"/>
      <c r="U214" s="230"/>
      <c r="V214" s="230"/>
      <c r="W214" s="230"/>
      <c r="X214" s="230"/>
      <c r="Y214" s="230"/>
      <c r="Z214" s="230"/>
      <c r="AA214" s="230"/>
    </row>
    <row r="215" spans="1:27">
      <c r="A215" s="276"/>
      <c r="B215" s="230"/>
      <c r="C215" s="230"/>
      <c r="D215" s="230"/>
      <c r="E215" s="230"/>
      <c r="F215" s="230"/>
      <c r="G215" s="230"/>
      <c r="H215" s="230"/>
      <c r="I215" s="230"/>
      <c r="J215" s="230"/>
      <c r="K215" s="230"/>
      <c r="L215" s="230"/>
      <c r="M215" s="230"/>
      <c r="N215" s="230"/>
      <c r="O215" s="230"/>
      <c r="P215" s="230"/>
      <c r="Q215" s="230"/>
      <c r="R215" s="230"/>
      <c r="S215" s="230"/>
      <c r="T215" s="230"/>
      <c r="U215" s="230"/>
      <c r="V215" s="230"/>
      <c r="W215" s="230"/>
      <c r="X215" s="230"/>
      <c r="Y215" s="230"/>
      <c r="Z215" s="230"/>
      <c r="AA215" s="230"/>
    </row>
    <row r="216" spans="1:27">
      <c r="A216" s="276"/>
      <c r="B216" s="230"/>
      <c r="C216" s="230"/>
      <c r="D216" s="230"/>
      <c r="E216" s="230"/>
      <c r="F216" s="230"/>
      <c r="G216" s="230"/>
      <c r="H216" s="230"/>
      <c r="I216" s="230"/>
      <c r="J216" s="230"/>
      <c r="K216" s="230"/>
      <c r="L216" s="230"/>
      <c r="M216" s="230"/>
      <c r="N216" s="230"/>
      <c r="O216" s="230"/>
      <c r="P216" s="230"/>
      <c r="Q216" s="230"/>
      <c r="R216" s="230"/>
      <c r="S216" s="230"/>
      <c r="T216" s="230"/>
      <c r="U216" s="230"/>
      <c r="V216" s="230"/>
      <c r="W216" s="230"/>
      <c r="X216" s="230"/>
      <c r="Y216" s="230"/>
      <c r="Z216" s="230"/>
      <c r="AA216" s="230"/>
    </row>
    <row r="217" spans="1:27">
      <c r="A217" s="276"/>
      <c r="B217" s="230"/>
      <c r="C217" s="230"/>
      <c r="D217" s="230"/>
      <c r="E217" s="230"/>
      <c r="F217" s="230"/>
      <c r="G217" s="230"/>
      <c r="H217" s="230"/>
      <c r="I217" s="230"/>
      <c r="J217" s="230"/>
      <c r="K217" s="230"/>
      <c r="L217" s="230"/>
      <c r="M217" s="230"/>
      <c r="N217" s="230"/>
      <c r="O217" s="230"/>
      <c r="P217" s="230"/>
      <c r="Q217" s="230"/>
      <c r="R217" s="230"/>
      <c r="S217" s="230"/>
      <c r="T217" s="230"/>
      <c r="U217" s="230"/>
      <c r="V217" s="230"/>
      <c r="W217" s="230"/>
      <c r="X217" s="230"/>
      <c r="Y217" s="230"/>
      <c r="Z217" s="230"/>
      <c r="AA217" s="230"/>
    </row>
    <row r="218" spans="1:27">
      <c r="A218" s="276"/>
      <c r="B218" s="230"/>
      <c r="C218" s="230"/>
      <c r="D218" s="230"/>
      <c r="E218" s="230"/>
      <c r="F218" s="230"/>
      <c r="G218" s="230"/>
      <c r="H218" s="230"/>
      <c r="I218" s="230"/>
      <c r="J218" s="230"/>
      <c r="K218" s="230"/>
      <c r="L218" s="230"/>
      <c r="M218" s="230"/>
      <c r="N218" s="230"/>
      <c r="O218" s="230"/>
      <c r="P218" s="230"/>
      <c r="Q218" s="230"/>
      <c r="R218" s="230"/>
      <c r="S218" s="230"/>
      <c r="T218" s="230"/>
      <c r="U218" s="230"/>
      <c r="V218" s="230"/>
      <c r="W218" s="230"/>
      <c r="X218" s="230"/>
      <c r="Y218" s="230"/>
      <c r="Z218" s="230"/>
      <c r="AA218" s="230"/>
    </row>
    <row r="219" spans="1:27">
      <c r="A219" s="276"/>
      <c r="B219" s="230"/>
      <c r="C219" s="230"/>
      <c r="D219" s="230"/>
      <c r="E219" s="230"/>
      <c r="F219" s="230"/>
      <c r="G219" s="230"/>
      <c r="H219" s="230"/>
      <c r="I219" s="230"/>
      <c r="J219" s="230"/>
      <c r="K219" s="230"/>
      <c r="L219" s="230"/>
      <c r="M219" s="230"/>
      <c r="N219" s="230"/>
      <c r="O219" s="230"/>
      <c r="P219" s="230"/>
      <c r="Q219" s="230"/>
      <c r="R219" s="230"/>
      <c r="S219" s="230"/>
      <c r="T219" s="230"/>
      <c r="U219" s="230"/>
      <c r="V219" s="230"/>
      <c r="W219" s="230"/>
      <c r="X219" s="230"/>
      <c r="Y219" s="230"/>
      <c r="Z219" s="230"/>
      <c r="AA219" s="230"/>
    </row>
    <row r="220" spans="1:27">
      <c r="A220" s="276"/>
      <c r="B220" s="230"/>
      <c r="C220" s="230"/>
      <c r="D220" s="230"/>
      <c r="E220" s="230"/>
      <c r="F220" s="230"/>
      <c r="G220" s="230"/>
      <c r="H220" s="230"/>
      <c r="I220" s="230"/>
      <c r="J220" s="230"/>
      <c r="K220" s="230"/>
      <c r="L220" s="230"/>
      <c r="M220" s="230"/>
      <c r="N220" s="230"/>
      <c r="O220" s="230"/>
      <c r="P220" s="230"/>
      <c r="Q220" s="230"/>
      <c r="R220" s="230"/>
      <c r="S220" s="230"/>
      <c r="T220" s="230"/>
      <c r="U220" s="230"/>
      <c r="V220" s="230"/>
      <c r="W220" s="230"/>
      <c r="X220" s="230"/>
      <c r="Y220" s="230"/>
      <c r="Z220" s="230"/>
      <c r="AA220" s="230"/>
    </row>
    <row r="221" spans="1:27">
      <c r="A221" s="276"/>
      <c r="B221" s="230"/>
      <c r="C221" s="230"/>
      <c r="D221" s="230"/>
      <c r="E221" s="230"/>
      <c r="F221" s="230"/>
      <c r="G221" s="230"/>
      <c r="H221" s="230"/>
      <c r="I221" s="230"/>
      <c r="J221" s="230"/>
      <c r="K221" s="230"/>
      <c r="L221" s="230"/>
      <c r="M221" s="230"/>
      <c r="N221" s="230"/>
      <c r="O221" s="230"/>
      <c r="P221" s="230"/>
      <c r="Q221" s="230"/>
      <c r="R221" s="230"/>
      <c r="S221" s="230"/>
      <c r="T221" s="230"/>
      <c r="U221" s="230"/>
      <c r="V221" s="230"/>
      <c r="W221" s="230"/>
      <c r="X221" s="230"/>
      <c r="Y221" s="230"/>
      <c r="Z221" s="230"/>
      <c r="AA221" s="230"/>
    </row>
    <row r="222" spans="1:27">
      <c r="A222" s="276"/>
      <c r="B222" s="230"/>
      <c r="C222" s="230"/>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row>
    <row r="223" spans="1:27">
      <c r="A223" s="276"/>
      <c r="B223" s="230"/>
      <c r="C223" s="230"/>
      <c r="D223" s="230"/>
      <c r="E223" s="230"/>
      <c r="F223" s="230"/>
      <c r="G223" s="230"/>
      <c r="H223" s="230"/>
      <c r="I223" s="230"/>
      <c r="J223" s="230"/>
      <c r="K223" s="230"/>
      <c r="L223" s="230"/>
      <c r="M223" s="230"/>
      <c r="N223" s="230"/>
      <c r="O223" s="230"/>
      <c r="P223" s="230"/>
      <c r="Q223" s="230"/>
      <c r="R223" s="230"/>
      <c r="S223" s="230"/>
      <c r="T223" s="230"/>
      <c r="U223" s="230"/>
      <c r="V223" s="230"/>
      <c r="W223" s="230"/>
      <c r="X223" s="230"/>
      <c r="Y223" s="230"/>
      <c r="Z223" s="230"/>
      <c r="AA223" s="230"/>
    </row>
    <row r="224" spans="1:27">
      <c r="A224" s="276"/>
      <c r="B224" s="230"/>
      <c r="C224" s="230"/>
      <c r="D224" s="230"/>
      <c r="E224" s="230"/>
      <c r="F224" s="230"/>
      <c r="G224" s="230"/>
      <c r="H224" s="230"/>
      <c r="I224" s="230"/>
      <c r="J224" s="230"/>
      <c r="K224" s="230"/>
      <c r="L224" s="230"/>
      <c r="M224" s="230"/>
      <c r="N224" s="230"/>
      <c r="O224" s="230"/>
      <c r="P224" s="230"/>
      <c r="Q224" s="230"/>
      <c r="R224" s="230"/>
      <c r="S224" s="230"/>
      <c r="T224" s="230"/>
      <c r="U224" s="230"/>
      <c r="V224" s="230"/>
      <c r="W224" s="230"/>
      <c r="X224" s="230"/>
      <c r="Y224" s="230"/>
      <c r="Z224" s="230"/>
      <c r="AA224" s="230"/>
    </row>
    <row r="225" spans="1:27">
      <c r="A225" s="276"/>
      <c r="B225" s="230"/>
      <c r="C225" s="230"/>
      <c r="D225" s="230"/>
      <c r="E225" s="230"/>
      <c r="F225" s="230"/>
      <c r="G225" s="230"/>
      <c r="H225" s="230"/>
      <c r="I225" s="230"/>
      <c r="J225" s="230"/>
      <c r="K225" s="230"/>
      <c r="L225" s="230"/>
      <c r="M225" s="230"/>
      <c r="N225" s="230"/>
      <c r="O225" s="230"/>
      <c r="P225" s="230"/>
      <c r="Q225" s="230"/>
      <c r="R225" s="230"/>
      <c r="S225" s="230"/>
      <c r="T225" s="230"/>
      <c r="U225" s="230"/>
      <c r="V225" s="230"/>
      <c r="W225" s="230"/>
      <c r="X225" s="230"/>
      <c r="Y225" s="230"/>
      <c r="Z225" s="230"/>
      <c r="AA225" s="230"/>
    </row>
    <row r="226" spans="1:27">
      <c r="A226" s="276"/>
      <c r="B226" s="230"/>
      <c r="C226" s="230"/>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row>
    <row r="227" spans="1:27">
      <c r="A227" s="276"/>
      <c r="B227" s="230"/>
      <c r="C227" s="230"/>
      <c r="D227" s="230"/>
      <c r="E227" s="230"/>
      <c r="F227" s="230"/>
      <c r="G227" s="230"/>
      <c r="H227" s="230"/>
      <c r="I227" s="230"/>
      <c r="J227" s="230"/>
      <c r="K227" s="230"/>
      <c r="L227" s="230"/>
      <c r="M227" s="230"/>
      <c r="N227" s="230"/>
      <c r="O227" s="230"/>
      <c r="P227" s="230"/>
      <c r="Q227" s="230"/>
      <c r="R227" s="230"/>
      <c r="S227" s="230"/>
      <c r="T227" s="230"/>
      <c r="U227" s="230"/>
      <c r="V227" s="230"/>
      <c r="W227" s="230"/>
      <c r="X227" s="230"/>
      <c r="Y227" s="230"/>
      <c r="Z227" s="230"/>
      <c r="AA227" s="230"/>
    </row>
    <row r="228" spans="1:27">
      <c r="A228" s="276"/>
      <c r="B228" s="230"/>
      <c r="C228" s="230"/>
      <c r="D228" s="230"/>
      <c r="E228" s="230"/>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row>
    <row r="229" spans="1:27">
      <c r="A229" s="276"/>
      <c r="B229" s="230"/>
      <c r="C229" s="230"/>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c r="Z229" s="230"/>
      <c r="AA229" s="230"/>
    </row>
    <row r="230" spans="1:27">
      <c r="A230" s="276"/>
      <c r="B230" s="230"/>
      <c r="C230" s="230"/>
      <c r="D230" s="230"/>
      <c r="E230" s="230"/>
      <c r="F230" s="230"/>
      <c r="G230" s="230"/>
      <c r="H230" s="230"/>
      <c r="I230" s="230"/>
      <c r="J230" s="230"/>
      <c r="K230" s="230"/>
      <c r="L230" s="230"/>
      <c r="M230" s="230"/>
      <c r="N230" s="230"/>
      <c r="O230" s="230"/>
      <c r="P230" s="230"/>
      <c r="Q230" s="230"/>
      <c r="R230" s="230"/>
      <c r="S230" s="230"/>
      <c r="T230" s="230"/>
      <c r="U230" s="230"/>
      <c r="V230" s="230"/>
      <c r="W230" s="230"/>
      <c r="X230" s="230"/>
      <c r="Y230" s="230"/>
      <c r="Z230" s="230"/>
      <c r="AA230" s="230"/>
    </row>
    <row r="231" spans="1:27">
      <c r="A231" s="276"/>
      <c r="B231" s="230"/>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row>
    <row r="232" spans="1:27">
      <c r="A232" s="276"/>
      <c r="B232" s="230"/>
      <c r="C232" s="230"/>
      <c r="D232" s="230"/>
      <c r="E232" s="230"/>
      <c r="F232" s="230"/>
      <c r="G232" s="230"/>
      <c r="H232" s="230"/>
      <c r="I232" s="230"/>
      <c r="J232" s="230"/>
      <c r="K232" s="230"/>
      <c r="L232" s="230"/>
      <c r="M232" s="230"/>
      <c r="N232" s="230"/>
      <c r="O232" s="230"/>
      <c r="P232" s="230"/>
      <c r="Q232" s="230"/>
      <c r="R232" s="230"/>
      <c r="S232" s="230"/>
      <c r="T232" s="230"/>
      <c r="U232" s="230"/>
      <c r="V232" s="230"/>
      <c r="W232" s="230"/>
      <c r="X232" s="230"/>
      <c r="Y232" s="230"/>
      <c r="Z232" s="230"/>
      <c r="AA232" s="230"/>
    </row>
    <row r="233" spans="1:27">
      <c r="A233" s="276"/>
      <c r="B233" s="230"/>
      <c r="C233" s="230"/>
      <c r="D233" s="230"/>
      <c r="E233" s="230"/>
      <c r="F233" s="230"/>
      <c r="G233" s="230"/>
      <c r="H233" s="230"/>
      <c r="I233" s="230"/>
      <c r="J233" s="230"/>
      <c r="K233" s="230"/>
      <c r="L233" s="230"/>
      <c r="M233" s="230"/>
      <c r="N233" s="230"/>
      <c r="O233" s="230"/>
      <c r="P233" s="230"/>
      <c r="Q233" s="230"/>
      <c r="R233" s="230"/>
      <c r="S233" s="230"/>
      <c r="T233" s="230"/>
      <c r="U233" s="230"/>
      <c r="V233" s="230"/>
      <c r="W233" s="230"/>
      <c r="X233" s="230"/>
      <c r="Y233" s="230"/>
      <c r="Z233" s="230"/>
      <c r="AA233" s="230"/>
    </row>
    <row r="234" spans="1:27">
      <c r="A234" s="276"/>
      <c r="B234" s="230"/>
      <c r="C234" s="23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0"/>
      <c r="Z234" s="230"/>
      <c r="AA234" s="230"/>
    </row>
    <row r="235" spans="1:27">
      <c r="A235" s="276"/>
      <c r="B235" s="230"/>
      <c r="C235" s="230"/>
      <c r="D235" s="230"/>
      <c r="E235" s="230"/>
      <c r="F235" s="230"/>
      <c r="G235" s="230"/>
      <c r="H235" s="230"/>
      <c r="I235" s="230"/>
      <c r="J235" s="230"/>
      <c r="K235" s="230"/>
      <c r="L235" s="230"/>
      <c r="M235" s="230"/>
      <c r="N235" s="230"/>
      <c r="O235" s="230"/>
      <c r="P235" s="230"/>
      <c r="Q235" s="230"/>
      <c r="R235" s="230"/>
      <c r="S235" s="230"/>
      <c r="T235" s="230"/>
      <c r="U235" s="230"/>
      <c r="V235" s="230"/>
      <c r="W235" s="230"/>
      <c r="X235" s="230"/>
      <c r="Y235" s="230"/>
      <c r="Z235" s="230"/>
      <c r="AA235" s="230"/>
    </row>
    <row r="236" spans="1:27">
      <c r="A236" s="276"/>
      <c r="B236" s="230"/>
      <c r="C236" s="230"/>
      <c r="D236" s="230"/>
      <c r="E236" s="230"/>
      <c r="F236" s="230"/>
      <c r="G236" s="230"/>
      <c r="H236" s="230"/>
      <c r="I236" s="230"/>
      <c r="J236" s="230"/>
      <c r="K236" s="230"/>
      <c r="L236" s="230"/>
      <c r="M236" s="230"/>
      <c r="N236" s="230"/>
      <c r="O236" s="230"/>
      <c r="P236" s="230"/>
      <c r="Q236" s="230"/>
      <c r="R236" s="230"/>
      <c r="S236" s="230"/>
      <c r="T236" s="230"/>
      <c r="U236" s="230"/>
      <c r="V236" s="230"/>
      <c r="W236" s="230"/>
      <c r="X236" s="230"/>
      <c r="Y236" s="230"/>
      <c r="Z236" s="230"/>
      <c r="AA236" s="230"/>
    </row>
    <row r="237" spans="1:27">
      <c r="A237" s="276"/>
      <c r="B237" s="230"/>
      <c r="C237" s="230"/>
      <c r="D237" s="230"/>
      <c r="E237" s="230"/>
      <c r="F237" s="230"/>
      <c r="G237" s="230"/>
      <c r="H237" s="230"/>
      <c r="I237" s="230"/>
      <c r="J237" s="230"/>
      <c r="K237" s="230"/>
      <c r="L237" s="230"/>
      <c r="M237" s="230"/>
      <c r="N237" s="230"/>
      <c r="O237" s="230"/>
      <c r="P237" s="230"/>
      <c r="Q237" s="230"/>
      <c r="R237" s="230"/>
      <c r="S237" s="230"/>
      <c r="T237" s="230"/>
      <c r="U237" s="230"/>
      <c r="V237" s="230"/>
      <c r="W237" s="230"/>
      <c r="X237" s="230"/>
      <c r="Y237" s="230"/>
      <c r="Z237" s="230"/>
      <c r="AA237" s="230"/>
    </row>
    <row r="238" spans="1:27">
      <c r="A238" s="276"/>
      <c r="B238" s="230"/>
      <c r="C238" s="230"/>
      <c r="D238" s="230"/>
      <c r="E238" s="230"/>
      <c r="F238" s="230"/>
      <c r="G238" s="230"/>
      <c r="H238" s="230"/>
      <c r="I238" s="230"/>
      <c r="J238" s="230"/>
      <c r="K238" s="230"/>
      <c r="L238" s="230"/>
      <c r="M238" s="230"/>
      <c r="N238" s="230"/>
      <c r="O238" s="230"/>
      <c r="P238" s="230"/>
      <c r="Q238" s="230"/>
      <c r="R238" s="230"/>
      <c r="S238" s="230"/>
      <c r="T238" s="230"/>
      <c r="U238" s="230"/>
      <c r="V238" s="230"/>
      <c r="W238" s="230"/>
      <c r="X238" s="230"/>
      <c r="Y238" s="230"/>
      <c r="Z238" s="230"/>
      <c r="AA238" s="230"/>
    </row>
    <row r="239" spans="1:27">
      <c r="A239" s="276"/>
      <c r="B239" s="230"/>
      <c r="C239" s="230"/>
      <c r="D239" s="230"/>
      <c r="E239" s="230"/>
      <c r="F239" s="230"/>
      <c r="G239" s="230"/>
      <c r="H239" s="230"/>
      <c r="I239" s="230"/>
      <c r="J239" s="230"/>
      <c r="K239" s="230"/>
      <c r="L239" s="230"/>
      <c r="M239" s="230"/>
      <c r="N239" s="230"/>
      <c r="O239" s="230"/>
      <c r="P239" s="230"/>
      <c r="Q239" s="230"/>
      <c r="R239" s="230"/>
      <c r="S239" s="230"/>
      <c r="T239" s="230"/>
      <c r="U239" s="230"/>
      <c r="V239" s="230"/>
      <c r="W239" s="230"/>
      <c r="X239" s="230"/>
      <c r="Y239" s="230"/>
      <c r="Z239" s="230"/>
      <c r="AA239" s="230"/>
    </row>
    <row r="240" spans="1:27">
      <c r="A240" s="276"/>
      <c r="B240" s="230"/>
      <c r="C240" s="230"/>
      <c r="D240" s="230"/>
      <c r="E240" s="230"/>
      <c r="F240" s="230"/>
      <c r="G240" s="230"/>
      <c r="H240" s="230"/>
      <c r="I240" s="230"/>
      <c r="J240" s="230"/>
      <c r="K240" s="230"/>
      <c r="L240" s="230"/>
      <c r="M240" s="230"/>
      <c r="N240" s="230"/>
      <c r="O240" s="230"/>
      <c r="P240" s="230"/>
      <c r="Q240" s="230"/>
      <c r="R240" s="230"/>
      <c r="S240" s="230"/>
      <c r="T240" s="230"/>
      <c r="U240" s="230"/>
      <c r="V240" s="230"/>
      <c r="W240" s="230"/>
      <c r="X240" s="230"/>
      <c r="Y240" s="230"/>
      <c r="Z240" s="230"/>
      <c r="AA240" s="230"/>
    </row>
    <row r="241" spans="1:27">
      <c r="A241" s="276"/>
      <c r="B241" s="230"/>
      <c r="C241" s="230"/>
      <c r="D241" s="230"/>
      <c r="E241" s="230"/>
      <c r="F241" s="230"/>
      <c r="G241" s="230"/>
      <c r="H241" s="230"/>
      <c r="I241" s="230"/>
      <c r="J241" s="230"/>
      <c r="K241" s="230"/>
      <c r="L241" s="230"/>
      <c r="M241" s="230"/>
      <c r="N241" s="230"/>
      <c r="O241" s="230"/>
      <c r="P241" s="230"/>
      <c r="Q241" s="230"/>
      <c r="R241" s="230"/>
      <c r="S241" s="230"/>
      <c r="T241" s="230"/>
      <c r="U241" s="230"/>
      <c r="V241" s="230"/>
      <c r="W241" s="230"/>
      <c r="X241" s="230"/>
      <c r="Y241" s="230"/>
      <c r="Z241" s="230"/>
      <c r="AA241" s="230"/>
    </row>
    <row r="242" spans="1:27">
      <c r="A242" s="276"/>
      <c r="B242" s="230"/>
      <c r="C242" s="230"/>
      <c r="D242" s="230"/>
      <c r="E242" s="230"/>
      <c r="F242" s="230"/>
      <c r="G242" s="230"/>
      <c r="H242" s="230"/>
      <c r="I242" s="230"/>
      <c r="J242" s="230"/>
      <c r="K242" s="230"/>
      <c r="L242" s="230"/>
      <c r="M242" s="230"/>
      <c r="N242" s="230"/>
      <c r="O242" s="230"/>
      <c r="P242" s="230"/>
      <c r="Q242" s="230"/>
      <c r="R242" s="230"/>
      <c r="S242" s="230"/>
      <c r="T242" s="230"/>
      <c r="U242" s="230"/>
      <c r="V242" s="230"/>
      <c r="W242" s="230"/>
      <c r="X242" s="230"/>
      <c r="Y242" s="230"/>
      <c r="Z242" s="230"/>
      <c r="AA242" s="230"/>
    </row>
    <row r="243" spans="1:27">
      <c r="A243" s="276"/>
      <c r="B243" s="230"/>
      <c r="C243" s="230"/>
      <c r="D243" s="230"/>
      <c r="E243" s="230"/>
      <c r="F243" s="230"/>
      <c r="G243" s="230"/>
      <c r="H243" s="230"/>
      <c r="I243" s="230"/>
      <c r="J243" s="230"/>
      <c r="K243" s="230"/>
      <c r="L243" s="230"/>
      <c r="M243" s="230"/>
      <c r="N243" s="230"/>
      <c r="O243" s="230"/>
      <c r="P243" s="230"/>
      <c r="Q243" s="230"/>
      <c r="R243" s="230"/>
      <c r="S243" s="230"/>
      <c r="T243" s="230"/>
      <c r="U243" s="230"/>
      <c r="V243" s="230"/>
      <c r="W243" s="230"/>
      <c r="X243" s="230"/>
      <c r="Y243" s="230"/>
      <c r="Z243" s="230"/>
      <c r="AA243" s="230"/>
    </row>
    <row r="244" spans="1:27">
      <c r="A244" s="276"/>
      <c r="B244" s="230"/>
      <c r="C244" s="230"/>
      <c r="D244" s="230"/>
      <c r="E244" s="230"/>
      <c r="F244" s="230"/>
      <c r="G244" s="230"/>
      <c r="H244" s="230"/>
      <c r="I244" s="230"/>
      <c r="J244" s="230"/>
      <c r="K244" s="230"/>
      <c r="L244" s="230"/>
      <c r="M244" s="230"/>
      <c r="N244" s="230"/>
      <c r="O244" s="230"/>
      <c r="P244" s="230"/>
      <c r="Q244" s="230"/>
      <c r="R244" s="230"/>
      <c r="S244" s="230"/>
      <c r="T244" s="230"/>
      <c r="U244" s="230"/>
      <c r="V244" s="230"/>
      <c r="W244" s="230"/>
      <c r="X244" s="230"/>
      <c r="Y244" s="230"/>
      <c r="Z244" s="230"/>
      <c r="AA244" s="230"/>
    </row>
    <row r="245" spans="1:27">
      <c r="A245" s="276"/>
      <c r="B245" s="230"/>
      <c r="C245" s="230"/>
      <c r="D245" s="230"/>
      <c r="E245" s="230"/>
      <c r="F245" s="230"/>
      <c r="G245" s="230"/>
      <c r="H245" s="230"/>
      <c r="I245" s="230"/>
      <c r="J245" s="230"/>
      <c r="K245" s="230"/>
      <c r="L245" s="230"/>
      <c r="M245" s="230"/>
      <c r="N245" s="230"/>
      <c r="O245" s="230"/>
      <c r="P245" s="230"/>
      <c r="Q245" s="230"/>
      <c r="R245" s="230"/>
      <c r="S245" s="230"/>
      <c r="T245" s="230"/>
      <c r="U245" s="230"/>
      <c r="V245" s="230"/>
      <c r="W245" s="230"/>
      <c r="X245" s="230"/>
      <c r="Y245" s="230"/>
      <c r="Z245" s="230"/>
      <c r="AA245" s="230"/>
    </row>
    <row r="246" spans="1:27">
      <c r="A246" s="276"/>
      <c r="B246" s="230"/>
      <c r="C246" s="230"/>
      <c r="D246" s="230"/>
      <c r="E246" s="230"/>
      <c r="F246" s="230"/>
      <c r="G246" s="230"/>
      <c r="H246" s="230"/>
      <c r="I246" s="230"/>
      <c r="J246" s="230"/>
      <c r="K246" s="230"/>
      <c r="L246" s="230"/>
      <c r="M246" s="230"/>
      <c r="N246" s="230"/>
      <c r="O246" s="230"/>
      <c r="P246" s="230"/>
      <c r="Q246" s="230"/>
      <c r="R246" s="230"/>
      <c r="S246" s="230"/>
      <c r="T246" s="230"/>
      <c r="U246" s="230"/>
      <c r="V246" s="230"/>
      <c r="W246" s="230"/>
      <c r="X246" s="230"/>
      <c r="Y246" s="230"/>
      <c r="Z246" s="230"/>
      <c r="AA246" s="230"/>
    </row>
    <row r="247" spans="1:27">
      <c r="A247" s="276"/>
      <c r="B247" s="230"/>
      <c r="C247" s="230"/>
      <c r="D247" s="230"/>
      <c r="E247" s="230"/>
      <c r="F247" s="230"/>
      <c r="G247" s="230"/>
      <c r="H247" s="230"/>
      <c r="I247" s="230"/>
      <c r="J247" s="230"/>
      <c r="K247" s="230"/>
      <c r="L247" s="230"/>
      <c r="M247" s="230"/>
      <c r="N247" s="230"/>
      <c r="O247" s="230"/>
      <c r="P247" s="230"/>
      <c r="Q247" s="230"/>
      <c r="R247" s="230"/>
      <c r="S247" s="230"/>
      <c r="T247" s="230"/>
      <c r="U247" s="230"/>
      <c r="V247" s="230"/>
      <c r="W247" s="230"/>
      <c r="X247" s="230"/>
      <c r="Y247" s="230"/>
      <c r="Z247" s="230"/>
      <c r="AA247" s="230"/>
    </row>
    <row r="248" spans="1:27">
      <c r="A248" s="276"/>
      <c r="B248" s="230"/>
      <c r="C248" s="230"/>
      <c r="D248" s="230"/>
      <c r="E248" s="230"/>
      <c r="F248" s="230"/>
      <c r="G248" s="230"/>
      <c r="H248" s="230"/>
      <c r="I248" s="230"/>
      <c r="J248" s="230"/>
      <c r="K248" s="230"/>
      <c r="L248" s="230"/>
      <c r="M248" s="230"/>
      <c r="N248" s="230"/>
      <c r="O248" s="230"/>
      <c r="P248" s="230"/>
      <c r="Q248" s="230"/>
      <c r="R248" s="230"/>
      <c r="S248" s="230"/>
      <c r="T248" s="230"/>
      <c r="U248" s="230"/>
      <c r="V248" s="230"/>
      <c r="W248" s="230"/>
      <c r="X248" s="230"/>
      <c r="Y248" s="230"/>
      <c r="Z248" s="230"/>
      <c r="AA248" s="230"/>
    </row>
    <row r="249" spans="1:27">
      <c r="A249" s="276"/>
      <c r="B249" s="230"/>
      <c r="C249" s="230"/>
      <c r="D249" s="230"/>
      <c r="E249" s="230"/>
      <c r="F249" s="230"/>
      <c r="G249" s="230"/>
      <c r="H249" s="230"/>
      <c r="I249" s="230"/>
      <c r="J249" s="230"/>
      <c r="K249" s="230"/>
      <c r="L249" s="230"/>
      <c r="M249" s="230"/>
      <c r="N249" s="230"/>
      <c r="O249" s="230"/>
      <c r="P249" s="230"/>
      <c r="Q249" s="230"/>
      <c r="R249" s="230"/>
      <c r="S249" s="230"/>
      <c r="T249" s="230"/>
      <c r="U249" s="230"/>
      <c r="V249" s="230"/>
      <c r="W249" s="230"/>
      <c r="X249" s="230"/>
      <c r="Y249" s="230"/>
      <c r="Z249" s="230"/>
      <c r="AA249" s="230"/>
    </row>
    <row r="250" spans="1:27">
      <c r="A250" s="276"/>
      <c r="B250" s="230"/>
      <c r="C250" s="230"/>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row>
    <row r="251" spans="1:27">
      <c r="A251" s="276"/>
      <c r="B251" s="230"/>
      <c r="C251" s="230"/>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row>
    <row r="252" spans="1:27">
      <c r="A252" s="276"/>
      <c r="B252" s="230"/>
      <c r="C252" s="230"/>
      <c r="D252" s="230"/>
      <c r="E252" s="230"/>
      <c r="F252" s="230"/>
      <c r="G252" s="230"/>
      <c r="H252" s="230"/>
      <c r="I252" s="230"/>
      <c r="J252" s="230"/>
      <c r="K252" s="230"/>
      <c r="L252" s="230"/>
      <c r="M252" s="230"/>
      <c r="N252" s="230"/>
      <c r="O252" s="230"/>
      <c r="P252" s="230"/>
      <c r="Q252" s="230"/>
      <c r="R252" s="230"/>
      <c r="S252" s="230"/>
      <c r="T252" s="230"/>
      <c r="U252" s="230"/>
      <c r="V252" s="230"/>
      <c r="W252" s="230"/>
      <c r="X252" s="230"/>
      <c r="Y252" s="230"/>
      <c r="Z252" s="230"/>
      <c r="AA252" s="230"/>
    </row>
    <row r="253" spans="1:27">
      <c r="A253" s="276"/>
      <c r="B253" s="230"/>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row>
    <row r="254" spans="1:27">
      <c r="A254" s="276"/>
      <c r="B254" s="230"/>
      <c r="C254" s="230"/>
      <c r="D254" s="230"/>
      <c r="E254" s="230"/>
      <c r="F254" s="230"/>
      <c r="G254" s="230"/>
      <c r="H254" s="230"/>
      <c r="I254" s="230"/>
      <c r="J254" s="230"/>
      <c r="K254" s="230"/>
      <c r="L254" s="230"/>
      <c r="M254" s="230"/>
      <c r="N254" s="230"/>
      <c r="O254" s="230"/>
      <c r="P254" s="230"/>
      <c r="Q254" s="230"/>
      <c r="R254" s="230"/>
      <c r="S254" s="230"/>
      <c r="T254" s="230"/>
      <c r="U254" s="230"/>
      <c r="V254" s="230"/>
      <c r="W254" s="230"/>
      <c r="X254" s="230"/>
      <c r="Y254" s="230"/>
      <c r="Z254" s="230"/>
      <c r="AA254" s="230"/>
    </row>
    <row r="255" spans="1:27">
      <c r="A255" s="276"/>
      <c r="B255" s="230"/>
      <c r="C255" s="230"/>
      <c r="D255" s="230"/>
      <c r="E255" s="230"/>
      <c r="F255" s="230"/>
      <c r="G255" s="230"/>
      <c r="H255" s="230"/>
      <c r="I255" s="230"/>
      <c r="J255" s="230"/>
      <c r="K255" s="230"/>
      <c r="L255" s="230"/>
      <c r="M255" s="230"/>
      <c r="N255" s="230"/>
      <c r="O255" s="230"/>
      <c r="P255" s="230"/>
      <c r="Q255" s="230"/>
      <c r="R255" s="230"/>
      <c r="S255" s="230"/>
      <c r="T255" s="230"/>
      <c r="U255" s="230"/>
      <c r="V255" s="230"/>
      <c r="W255" s="230"/>
      <c r="X255" s="230"/>
      <c r="Y255" s="230"/>
      <c r="Z255" s="230"/>
      <c r="AA255" s="230"/>
    </row>
    <row r="256" spans="1:27">
      <c r="A256" s="276"/>
      <c r="B256" s="230"/>
      <c r="C256" s="230"/>
      <c r="D256" s="230"/>
      <c r="E256" s="230"/>
      <c r="F256" s="230"/>
      <c r="G256" s="230"/>
      <c r="H256" s="230"/>
      <c r="I256" s="230"/>
      <c r="J256" s="230"/>
      <c r="K256" s="230"/>
      <c r="L256" s="230"/>
      <c r="M256" s="230"/>
      <c r="N256" s="230"/>
      <c r="O256" s="230"/>
      <c r="P256" s="230"/>
      <c r="Q256" s="230"/>
      <c r="R256" s="230"/>
      <c r="S256" s="230"/>
      <c r="T256" s="230"/>
      <c r="U256" s="230"/>
      <c r="V256" s="230"/>
      <c r="W256" s="230"/>
      <c r="X256" s="230"/>
      <c r="Y256" s="230"/>
      <c r="Z256" s="230"/>
      <c r="AA256" s="230"/>
    </row>
    <row r="257" spans="1:27">
      <c r="A257" s="276"/>
      <c r="B257" s="230"/>
      <c r="C257" s="230"/>
      <c r="D257" s="230"/>
      <c r="E257" s="230"/>
      <c r="F257" s="230"/>
      <c r="G257" s="230"/>
      <c r="H257" s="230"/>
      <c r="I257" s="230"/>
      <c r="J257" s="230"/>
      <c r="K257" s="230"/>
      <c r="L257" s="230"/>
      <c r="M257" s="230"/>
      <c r="N257" s="230"/>
      <c r="O257" s="230"/>
      <c r="P257" s="230"/>
      <c r="Q257" s="230"/>
      <c r="R257" s="230"/>
      <c r="S257" s="230"/>
      <c r="T257" s="230"/>
      <c r="U257" s="230"/>
      <c r="V257" s="230"/>
      <c r="W257" s="230"/>
      <c r="X257" s="230"/>
      <c r="Y257" s="230"/>
      <c r="Z257" s="230"/>
      <c r="AA257" s="230"/>
    </row>
    <row r="258" spans="1:27">
      <c r="A258" s="276"/>
      <c r="B258" s="230"/>
      <c r="C258" s="230"/>
      <c r="D258" s="230"/>
      <c r="E258" s="230"/>
      <c r="F258" s="230"/>
      <c r="G258" s="230"/>
      <c r="H258" s="230"/>
      <c r="I258" s="230"/>
      <c r="J258" s="230"/>
      <c r="K258" s="230"/>
      <c r="L258" s="230"/>
      <c r="M258" s="230"/>
      <c r="N258" s="230"/>
      <c r="O258" s="230"/>
      <c r="P258" s="230"/>
      <c r="Q258" s="230"/>
      <c r="R258" s="230"/>
      <c r="S258" s="230"/>
      <c r="T258" s="230"/>
      <c r="U258" s="230"/>
      <c r="V258" s="230"/>
      <c r="W258" s="230"/>
      <c r="X258" s="230"/>
      <c r="Y258" s="230"/>
      <c r="Z258" s="230"/>
      <c r="AA258" s="230"/>
    </row>
    <row r="259" spans="1:27">
      <c r="A259" s="276"/>
      <c r="B259" s="230"/>
      <c r="C259" s="230"/>
      <c r="D259" s="230"/>
      <c r="E259" s="230"/>
      <c r="F259" s="230"/>
      <c r="G259" s="230"/>
      <c r="H259" s="230"/>
      <c r="I259" s="230"/>
      <c r="J259" s="230"/>
      <c r="K259" s="230"/>
      <c r="L259" s="230"/>
      <c r="M259" s="230"/>
      <c r="N259" s="230"/>
      <c r="O259" s="230"/>
      <c r="P259" s="230"/>
      <c r="Q259" s="230"/>
      <c r="R259" s="230"/>
      <c r="S259" s="230"/>
      <c r="T259" s="230"/>
      <c r="U259" s="230"/>
      <c r="V259" s="230"/>
      <c r="W259" s="230"/>
      <c r="X259" s="230"/>
      <c r="Y259" s="230"/>
      <c r="Z259" s="230"/>
      <c r="AA259" s="230"/>
    </row>
    <row r="260" spans="1:27">
      <c r="A260" s="276"/>
      <c r="B260" s="230"/>
      <c r="C260" s="230"/>
      <c r="D260" s="230"/>
      <c r="E260" s="230"/>
      <c r="F260" s="230"/>
      <c r="G260" s="230"/>
      <c r="H260" s="230"/>
      <c r="I260" s="230"/>
      <c r="J260" s="230"/>
      <c r="K260" s="230"/>
      <c r="L260" s="230"/>
      <c r="M260" s="230"/>
      <c r="N260" s="230"/>
      <c r="O260" s="230"/>
      <c r="P260" s="230"/>
      <c r="Q260" s="230"/>
      <c r="R260" s="230"/>
      <c r="S260" s="230"/>
      <c r="T260" s="230"/>
      <c r="U260" s="230"/>
      <c r="V260" s="230"/>
      <c r="W260" s="230"/>
      <c r="X260" s="230"/>
      <c r="Y260" s="230"/>
      <c r="Z260" s="230"/>
      <c r="AA260" s="230"/>
    </row>
    <row r="261" spans="1:27">
      <c r="A261" s="276"/>
      <c r="B261" s="230"/>
      <c r="C261" s="230"/>
      <c r="D261" s="230"/>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row>
    <row r="262" spans="1:27">
      <c r="A262" s="276"/>
      <c r="B262" s="230"/>
      <c r="C262" s="230"/>
      <c r="D262" s="230"/>
      <c r="E262" s="230"/>
      <c r="F262" s="230"/>
      <c r="G262" s="230"/>
      <c r="H262" s="230"/>
      <c r="I262" s="230"/>
      <c r="J262" s="230"/>
      <c r="K262" s="230"/>
      <c r="L262" s="230"/>
      <c r="M262" s="230"/>
      <c r="N262" s="230"/>
      <c r="O262" s="230"/>
      <c r="P262" s="230"/>
      <c r="Q262" s="230"/>
      <c r="R262" s="230"/>
      <c r="S262" s="230"/>
      <c r="T262" s="230"/>
      <c r="U262" s="230"/>
      <c r="V262" s="230"/>
      <c r="W262" s="230"/>
      <c r="X262" s="230"/>
      <c r="Y262" s="230"/>
      <c r="Z262" s="230"/>
      <c r="AA262" s="230"/>
    </row>
    <row r="263" spans="1:27">
      <c r="A263" s="276"/>
      <c r="B263" s="230"/>
      <c r="C263" s="230"/>
      <c r="D263" s="230"/>
      <c r="E263" s="230"/>
      <c r="F263" s="230"/>
      <c r="G263" s="230"/>
      <c r="H263" s="230"/>
      <c r="I263" s="230"/>
      <c r="J263" s="230"/>
      <c r="K263" s="230"/>
      <c r="L263" s="230"/>
      <c r="M263" s="230"/>
      <c r="N263" s="230"/>
      <c r="O263" s="230"/>
      <c r="P263" s="230"/>
      <c r="Q263" s="230"/>
      <c r="R263" s="230"/>
      <c r="S263" s="230"/>
      <c r="T263" s="230"/>
      <c r="U263" s="230"/>
      <c r="V263" s="230"/>
      <c r="W263" s="230"/>
      <c r="X263" s="230"/>
      <c r="Y263" s="230"/>
      <c r="Z263" s="230"/>
      <c r="AA263" s="230"/>
    </row>
    <row r="264" spans="1:27">
      <c r="A264" s="276"/>
      <c r="B264" s="230"/>
      <c r="C264" s="230"/>
      <c r="D264" s="230"/>
      <c r="E264" s="230"/>
      <c r="F264" s="230"/>
      <c r="G264" s="230"/>
      <c r="H264" s="230"/>
      <c r="I264" s="230"/>
      <c r="J264" s="230"/>
      <c r="K264" s="230"/>
      <c r="L264" s="230"/>
      <c r="M264" s="230"/>
      <c r="N264" s="230"/>
      <c r="O264" s="230"/>
      <c r="P264" s="230"/>
      <c r="Q264" s="230"/>
      <c r="R264" s="230"/>
      <c r="S264" s="230"/>
      <c r="T264" s="230"/>
      <c r="U264" s="230"/>
      <c r="V264" s="230"/>
      <c r="W264" s="230"/>
      <c r="X264" s="230"/>
      <c r="Y264" s="230"/>
      <c r="Z264" s="230"/>
      <c r="AA264" s="230"/>
    </row>
    <row r="265" spans="1:27">
      <c r="A265" s="276"/>
      <c r="B265" s="230"/>
      <c r="C265" s="230"/>
      <c r="D265" s="230"/>
      <c r="E265" s="230"/>
      <c r="F265" s="230"/>
      <c r="G265" s="230"/>
      <c r="H265" s="230"/>
      <c r="I265" s="230"/>
      <c r="J265" s="230"/>
      <c r="K265" s="230"/>
      <c r="L265" s="230"/>
      <c r="M265" s="230"/>
      <c r="N265" s="230"/>
      <c r="O265" s="230"/>
      <c r="P265" s="230"/>
      <c r="Q265" s="230"/>
      <c r="R265" s="230"/>
      <c r="S265" s="230"/>
      <c r="T265" s="230"/>
      <c r="U265" s="230"/>
      <c r="V265" s="230"/>
      <c r="W265" s="230"/>
      <c r="X265" s="230"/>
      <c r="Y265" s="230"/>
      <c r="Z265" s="230"/>
      <c r="AA265" s="230"/>
    </row>
    <row r="266" spans="1:27">
      <c r="A266" s="276"/>
      <c r="B266" s="230"/>
      <c r="C266" s="230"/>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row>
    <row r="267" spans="1:27">
      <c r="A267" s="276"/>
      <c r="B267" s="230"/>
      <c r="C267" s="230"/>
      <c r="D267" s="230"/>
      <c r="E267" s="230"/>
      <c r="F267" s="230"/>
      <c r="G267" s="230"/>
      <c r="H267" s="230"/>
      <c r="I267" s="230"/>
      <c r="J267" s="230"/>
      <c r="K267" s="230"/>
      <c r="L267" s="230"/>
      <c r="M267" s="230"/>
      <c r="N267" s="230"/>
      <c r="O267" s="230"/>
      <c r="P267" s="230"/>
      <c r="Q267" s="230"/>
      <c r="R267" s="230"/>
      <c r="S267" s="230"/>
      <c r="T267" s="230"/>
      <c r="U267" s="230"/>
      <c r="V267" s="230"/>
      <c r="W267" s="230"/>
      <c r="X267" s="230"/>
      <c r="Y267" s="230"/>
      <c r="Z267" s="230"/>
      <c r="AA267" s="230"/>
    </row>
    <row r="268" spans="1:27">
      <c r="A268" s="276"/>
      <c r="B268" s="230"/>
      <c r="C268" s="230"/>
      <c r="D268" s="230"/>
      <c r="E268" s="230"/>
      <c r="F268" s="230"/>
      <c r="G268" s="230"/>
      <c r="H268" s="230"/>
      <c r="I268" s="230"/>
      <c r="J268" s="230"/>
      <c r="K268" s="230"/>
      <c r="L268" s="230"/>
      <c r="M268" s="230"/>
      <c r="N268" s="230"/>
      <c r="O268" s="230"/>
      <c r="P268" s="230"/>
      <c r="Q268" s="230"/>
      <c r="R268" s="230"/>
      <c r="S268" s="230"/>
      <c r="T268" s="230"/>
      <c r="U268" s="230"/>
      <c r="V268" s="230"/>
      <c r="W268" s="230"/>
      <c r="X268" s="230"/>
      <c r="Y268" s="230"/>
      <c r="Z268" s="230"/>
      <c r="AA268" s="230"/>
    </row>
    <row r="269" spans="1:27">
      <c r="A269" s="276"/>
      <c r="B269" s="230"/>
      <c r="C269" s="230"/>
      <c r="D269" s="230"/>
      <c r="E269" s="230"/>
      <c r="F269" s="230"/>
      <c r="G269" s="230"/>
      <c r="H269" s="230"/>
      <c r="I269" s="230"/>
      <c r="J269" s="230"/>
      <c r="K269" s="230"/>
      <c r="L269" s="230"/>
      <c r="M269" s="230"/>
      <c r="N269" s="230"/>
      <c r="O269" s="230"/>
      <c r="P269" s="230"/>
      <c r="Q269" s="230"/>
      <c r="R269" s="230"/>
      <c r="S269" s="230"/>
      <c r="T269" s="230"/>
      <c r="U269" s="230"/>
      <c r="V269" s="230"/>
      <c r="W269" s="230"/>
      <c r="X269" s="230"/>
      <c r="Y269" s="230"/>
      <c r="Z269" s="230"/>
      <c r="AA269" s="230"/>
    </row>
    <row r="270" spans="1:27">
      <c r="A270" s="276"/>
      <c r="B270" s="230"/>
      <c r="C270" s="230"/>
      <c r="D270" s="230"/>
      <c r="E270" s="230"/>
      <c r="F270" s="230"/>
      <c r="G270" s="230"/>
      <c r="H270" s="230"/>
      <c r="I270" s="230"/>
      <c r="J270" s="230"/>
      <c r="K270" s="230"/>
      <c r="L270" s="230"/>
      <c r="M270" s="230"/>
      <c r="N270" s="230"/>
      <c r="O270" s="230"/>
      <c r="P270" s="230"/>
      <c r="Q270" s="230"/>
      <c r="R270" s="230"/>
      <c r="S270" s="230"/>
      <c r="T270" s="230"/>
      <c r="U270" s="230"/>
      <c r="V270" s="230"/>
      <c r="W270" s="230"/>
      <c r="X270" s="230"/>
      <c r="Y270" s="230"/>
      <c r="Z270" s="230"/>
      <c r="AA270" s="230"/>
    </row>
    <row r="271" spans="1:27">
      <c r="A271" s="276"/>
      <c r="B271" s="230"/>
      <c r="C271" s="230"/>
      <c r="D271" s="230"/>
      <c r="E271" s="230"/>
      <c r="F271" s="230"/>
      <c r="G271" s="230"/>
      <c r="H271" s="230"/>
      <c r="I271" s="230"/>
      <c r="J271" s="230"/>
      <c r="K271" s="230"/>
      <c r="L271" s="230"/>
      <c r="M271" s="230"/>
      <c r="N271" s="230"/>
      <c r="O271" s="230"/>
      <c r="P271" s="230"/>
      <c r="Q271" s="230"/>
      <c r="R271" s="230"/>
      <c r="S271" s="230"/>
      <c r="T271" s="230"/>
      <c r="U271" s="230"/>
      <c r="V271" s="230"/>
      <c r="W271" s="230"/>
      <c r="X271" s="230"/>
      <c r="Y271" s="230"/>
      <c r="Z271" s="230"/>
      <c r="AA271" s="230"/>
    </row>
    <row r="272" spans="1:27">
      <c r="A272" s="276"/>
      <c r="B272" s="230"/>
      <c r="C272" s="230"/>
      <c r="D272" s="230"/>
      <c r="E272" s="230"/>
      <c r="F272" s="230"/>
      <c r="G272" s="230"/>
      <c r="H272" s="230"/>
      <c r="I272" s="230"/>
      <c r="J272" s="230"/>
      <c r="K272" s="230"/>
      <c r="L272" s="230"/>
      <c r="M272" s="230"/>
      <c r="N272" s="230"/>
      <c r="O272" s="230"/>
      <c r="P272" s="230"/>
      <c r="Q272" s="230"/>
      <c r="R272" s="230"/>
      <c r="S272" s="230"/>
      <c r="T272" s="230"/>
      <c r="U272" s="230"/>
      <c r="V272" s="230"/>
      <c r="W272" s="230"/>
      <c r="X272" s="230"/>
      <c r="Y272" s="230"/>
      <c r="Z272" s="230"/>
      <c r="AA272" s="230"/>
    </row>
    <row r="273" spans="1:27">
      <c r="A273" s="276"/>
      <c r="B273" s="230"/>
      <c r="C273" s="230"/>
      <c r="D273" s="230"/>
      <c r="E273" s="230"/>
      <c r="F273" s="230"/>
      <c r="G273" s="230"/>
      <c r="H273" s="230"/>
      <c r="I273" s="230"/>
      <c r="J273" s="230"/>
      <c r="K273" s="230"/>
      <c r="L273" s="230"/>
      <c r="M273" s="230"/>
      <c r="N273" s="230"/>
      <c r="O273" s="230"/>
      <c r="P273" s="230"/>
      <c r="Q273" s="230"/>
      <c r="R273" s="230"/>
      <c r="S273" s="230"/>
      <c r="T273" s="230"/>
      <c r="U273" s="230"/>
      <c r="V273" s="230"/>
      <c r="W273" s="230"/>
      <c r="X273" s="230"/>
      <c r="Y273" s="230"/>
      <c r="Z273" s="230"/>
      <c r="AA273" s="230"/>
    </row>
    <row r="274" spans="1:27">
      <c r="A274" s="276"/>
      <c r="B274" s="230"/>
      <c r="C274" s="230"/>
      <c r="D274" s="230"/>
      <c r="E274" s="230"/>
      <c r="F274" s="230"/>
      <c r="G274" s="230"/>
      <c r="H274" s="230"/>
      <c r="I274" s="230"/>
      <c r="J274" s="230"/>
      <c r="K274" s="230"/>
      <c r="L274" s="230"/>
      <c r="M274" s="230"/>
      <c r="N274" s="230"/>
      <c r="O274" s="230"/>
      <c r="P274" s="230"/>
      <c r="Q274" s="230"/>
      <c r="R274" s="230"/>
      <c r="S274" s="230"/>
      <c r="T274" s="230"/>
      <c r="U274" s="230"/>
      <c r="V274" s="230"/>
      <c r="W274" s="230"/>
      <c r="X274" s="230"/>
      <c r="Y274" s="230"/>
      <c r="Z274" s="230"/>
      <c r="AA274" s="230"/>
    </row>
    <row r="275" spans="1:27">
      <c r="A275" s="276"/>
      <c r="B275" s="230"/>
      <c r="C275" s="230"/>
      <c r="D275" s="230"/>
      <c r="E275" s="230"/>
      <c r="F275" s="230"/>
      <c r="G275" s="230"/>
      <c r="H275" s="230"/>
      <c r="I275" s="230"/>
      <c r="J275" s="230"/>
      <c r="K275" s="230"/>
      <c r="L275" s="230"/>
      <c r="M275" s="230"/>
      <c r="N275" s="230"/>
      <c r="O275" s="230"/>
      <c r="P275" s="230"/>
      <c r="Q275" s="230"/>
      <c r="R275" s="230"/>
      <c r="S275" s="230"/>
      <c r="T275" s="230"/>
      <c r="U275" s="230"/>
      <c r="V275" s="230"/>
      <c r="W275" s="230"/>
      <c r="X275" s="230"/>
      <c r="Y275" s="230"/>
      <c r="Z275" s="230"/>
      <c r="AA275" s="230"/>
    </row>
    <row r="276" spans="1:27">
      <c r="A276" s="276"/>
      <c r="B276" s="230"/>
      <c r="C276" s="230"/>
      <c r="D276" s="230"/>
      <c r="E276" s="230"/>
      <c r="F276" s="230"/>
      <c r="G276" s="230"/>
      <c r="H276" s="230"/>
      <c r="I276" s="230"/>
      <c r="J276" s="230"/>
      <c r="K276" s="230"/>
      <c r="L276" s="230"/>
      <c r="M276" s="230"/>
      <c r="N276" s="230"/>
      <c r="O276" s="230"/>
      <c r="P276" s="230"/>
      <c r="Q276" s="230"/>
      <c r="R276" s="230"/>
      <c r="S276" s="230"/>
      <c r="T276" s="230"/>
      <c r="U276" s="230"/>
      <c r="V276" s="230"/>
      <c r="W276" s="230"/>
      <c r="X276" s="230"/>
      <c r="Y276" s="230"/>
      <c r="Z276" s="230"/>
      <c r="AA276" s="230"/>
    </row>
    <row r="277" spans="1:27">
      <c r="A277" s="276"/>
      <c r="B277" s="230"/>
      <c r="C277" s="230"/>
      <c r="D277" s="230"/>
      <c r="E277" s="230"/>
      <c r="F277" s="230"/>
      <c r="G277" s="230"/>
      <c r="H277" s="230"/>
      <c r="I277" s="230"/>
      <c r="J277" s="230"/>
      <c r="K277" s="230"/>
      <c r="L277" s="230"/>
      <c r="M277" s="230"/>
      <c r="N277" s="230"/>
      <c r="O277" s="230"/>
      <c r="P277" s="230"/>
      <c r="Q277" s="230"/>
      <c r="R277" s="230"/>
      <c r="S277" s="230"/>
      <c r="T277" s="230"/>
      <c r="U277" s="230"/>
      <c r="V277" s="230"/>
      <c r="W277" s="230"/>
      <c r="X277" s="230"/>
      <c r="Y277" s="230"/>
      <c r="Z277" s="230"/>
      <c r="AA277" s="230"/>
    </row>
    <row r="278" spans="1:27">
      <c r="A278" s="276"/>
      <c r="B278" s="230"/>
      <c r="C278" s="230"/>
      <c r="D278" s="230"/>
      <c r="E278" s="230"/>
      <c r="F278" s="230"/>
      <c r="G278" s="230"/>
      <c r="H278" s="230"/>
      <c r="I278" s="230"/>
      <c r="J278" s="230"/>
      <c r="K278" s="230"/>
      <c r="L278" s="230"/>
      <c r="M278" s="230"/>
      <c r="N278" s="230"/>
      <c r="O278" s="230"/>
      <c r="P278" s="230"/>
      <c r="Q278" s="230"/>
      <c r="R278" s="230"/>
      <c r="S278" s="230"/>
      <c r="T278" s="230"/>
      <c r="U278" s="230"/>
      <c r="V278" s="230"/>
      <c r="W278" s="230"/>
      <c r="X278" s="230"/>
      <c r="Y278" s="230"/>
      <c r="Z278" s="230"/>
      <c r="AA278" s="230"/>
    </row>
    <row r="279" spans="1:27">
      <c r="A279" s="276"/>
      <c r="B279" s="230"/>
      <c r="C279" s="230"/>
      <c r="D279" s="230"/>
      <c r="E279" s="230"/>
      <c r="F279" s="230"/>
      <c r="G279" s="230"/>
      <c r="H279" s="230"/>
      <c r="I279" s="230"/>
      <c r="J279" s="230"/>
      <c r="K279" s="230"/>
      <c r="L279" s="230"/>
      <c r="M279" s="230"/>
      <c r="N279" s="230"/>
      <c r="O279" s="230"/>
      <c r="P279" s="230"/>
      <c r="Q279" s="230"/>
      <c r="R279" s="230"/>
      <c r="S279" s="230"/>
      <c r="T279" s="230"/>
      <c r="U279" s="230"/>
      <c r="V279" s="230"/>
      <c r="W279" s="230"/>
      <c r="X279" s="230"/>
      <c r="Y279" s="230"/>
      <c r="Z279" s="230"/>
      <c r="AA279" s="230"/>
    </row>
    <row r="280" spans="1:27">
      <c r="A280" s="276"/>
      <c r="B280" s="230"/>
      <c r="C280" s="230"/>
      <c r="D280" s="230"/>
      <c r="E280" s="230"/>
      <c r="F280" s="230"/>
      <c r="G280" s="230"/>
      <c r="H280" s="230"/>
      <c r="I280" s="230"/>
      <c r="J280" s="230"/>
      <c r="K280" s="230"/>
      <c r="L280" s="230"/>
      <c r="M280" s="230"/>
      <c r="N280" s="230"/>
      <c r="O280" s="230"/>
      <c r="P280" s="230"/>
      <c r="Q280" s="230"/>
      <c r="R280" s="230"/>
      <c r="S280" s="230"/>
      <c r="T280" s="230"/>
      <c r="U280" s="230"/>
      <c r="V280" s="230"/>
      <c r="W280" s="230"/>
      <c r="X280" s="230"/>
      <c r="Y280" s="230"/>
      <c r="Z280" s="230"/>
      <c r="AA280" s="230"/>
    </row>
    <row r="281" spans="1:27">
      <c r="A281" s="276"/>
      <c r="B281" s="230"/>
      <c r="C281" s="230"/>
      <c r="D281" s="230"/>
      <c r="E281" s="230"/>
      <c r="F281" s="230"/>
      <c r="G281" s="230"/>
      <c r="H281" s="230"/>
      <c r="I281" s="230"/>
      <c r="J281" s="230"/>
      <c r="K281" s="230"/>
      <c r="L281" s="230"/>
      <c r="M281" s="230"/>
      <c r="N281" s="230"/>
      <c r="O281" s="230"/>
      <c r="P281" s="230"/>
      <c r="Q281" s="230"/>
      <c r="R281" s="230"/>
      <c r="S281" s="230"/>
      <c r="T281" s="230"/>
      <c r="U281" s="230"/>
      <c r="V281" s="230"/>
      <c r="W281" s="230"/>
      <c r="X281" s="230"/>
      <c r="Y281" s="230"/>
      <c r="Z281" s="230"/>
      <c r="AA281" s="230"/>
    </row>
    <row r="282" spans="1:27">
      <c r="A282" s="276"/>
      <c r="B282" s="230"/>
      <c r="C282" s="230"/>
      <c r="D282" s="230"/>
      <c r="E282" s="230"/>
      <c r="F282" s="230"/>
      <c r="G282" s="230"/>
      <c r="H282" s="230"/>
      <c r="I282" s="230"/>
      <c r="J282" s="230"/>
      <c r="K282" s="230"/>
      <c r="L282" s="230"/>
      <c r="M282" s="230"/>
      <c r="N282" s="230"/>
      <c r="O282" s="230"/>
      <c r="P282" s="230"/>
      <c r="Q282" s="230"/>
      <c r="R282" s="230"/>
      <c r="S282" s="230"/>
      <c r="T282" s="230"/>
      <c r="U282" s="230"/>
      <c r="V282" s="230"/>
      <c r="W282" s="230"/>
      <c r="X282" s="230"/>
      <c r="Y282" s="230"/>
      <c r="Z282" s="230"/>
      <c r="AA282" s="230"/>
    </row>
    <row r="283" spans="1:27">
      <c r="A283" s="276"/>
      <c r="B283" s="230"/>
      <c r="C283" s="230"/>
      <c r="D283" s="230"/>
      <c r="E283" s="230"/>
      <c r="F283" s="230"/>
      <c r="G283" s="230"/>
      <c r="H283" s="230"/>
      <c r="I283" s="230"/>
      <c r="J283" s="230"/>
      <c r="K283" s="230"/>
      <c r="L283" s="230"/>
      <c r="M283" s="230"/>
      <c r="N283" s="230"/>
      <c r="O283" s="230"/>
      <c r="P283" s="230"/>
      <c r="Q283" s="230"/>
      <c r="R283" s="230"/>
      <c r="S283" s="230"/>
      <c r="T283" s="230"/>
      <c r="U283" s="230"/>
      <c r="V283" s="230"/>
      <c r="W283" s="230"/>
      <c r="X283" s="230"/>
      <c r="Y283" s="230"/>
      <c r="Z283" s="230"/>
      <c r="AA283" s="230"/>
    </row>
    <row r="284" spans="1:27">
      <c r="A284" s="276"/>
      <c r="B284" s="230"/>
      <c r="C284" s="230"/>
      <c r="D284" s="230"/>
      <c r="E284" s="230"/>
      <c r="F284" s="230"/>
      <c r="G284" s="230"/>
      <c r="H284" s="230"/>
      <c r="I284" s="230"/>
      <c r="J284" s="230"/>
      <c r="K284" s="230"/>
      <c r="L284" s="230"/>
      <c r="M284" s="230"/>
      <c r="N284" s="230"/>
      <c r="O284" s="230"/>
      <c r="P284" s="230"/>
      <c r="Q284" s="230"/>
      <c r="R284" s="230"/>
      <c r="S284" s="230"/>
      <c r="T284" s="230"/>
      <c r="U284" s="230"/>
      <c r="V284" s="230"/>
      <c r="W284" s="230"/>
      <c r="X284" s="230"/>
      <c r="Y284" s="230"/>
      <c r="Z284" s="230"/>
      <c r="AA284" s="230"/>
    </row>
    <row r="285" spans="1:27">
      <c r="A285" s="276"/>
      <c r="B285" s="230"/>
      <c r="C285" s="230"/>
      <c r="D285" s="230"/>
      <c r="E285" s="230"/>
      <c r="F285" s="230"/>
      <c r="G285" s="230"/>
      <c r="H285" s="230"/>
      <c r="I285" s="230"/>
      <c r="J285" s="230"/>
      <c r="K285" s="230"/>
      <c r="L285" s="230"/>
      <c r="M285" s="230"/>
      <c r="N285" s="230"/>
      <c r="O285" s="230"/>
      <c r="P285" s="230"/>
      <c r="Q285" s="230"/>
      <c r="R285" s="230"/>
      <c r="S285" s="230"/>
      <c r="T285" s="230"/>
      <c r="U285" s="230"/>
      <c r="V285" s="230"/>
      <c r="W285" s="230"/>
      <c r="X285" s="230"/>
      <c r="Y285" s="230"/>
      <c r="Z285" s="230"/>
      <c r="AA285" s="230"/>
    </row>
    <row r="286" spans="1:27">
      <c r="A286" s="276"/>
      <c r="B286" s="230"/>
      <c r="C286" s="230"/>
      <c r="D286" s="230"/>
      <c r="E286" s="230"/>
      <c r="F286" s="230"/>
      <c r="G286" s="230"/>
      <c r="H286" s="230"/>
      <c r="I286" s="230"/>
      <c r="J286" s="230"/>
      <c r="K286" s="230"/>
      <c r="L286" s="230"/>
      <c r="M286" s="230"/>
      <c r="N286" s="230"/>
      <c r="O286" s="230"/>
      <c r="P286" s="230"/>
      <c r="Q286" s="230"/>
      <c r="R286" s="230"/>
      <c r="S286" s="230"/>
      <c r="T286" s="230"/>
      <c r="U286" s="230"/>
      <c r="V286" s="230"/>
      <c r="W286" s="230"/>
      <c r="X286" s="230"/>
      <c r="Y286" s="230"/>
      <c r="Z286" s="230"/>
      <c r="AA286" s="230"/>
    </row>
    <row r="287" spans="1:27">
      <c r="A287" s="276"/>
      <c r="B287" s="230"/>
      <c r="C287" s="230"/>
      <c r="D287" s="230"/>
      <c r="E287" s="230"/>
      <c r="F287" s="230"/>
      <c r="G287" s="230"/>
      <c r="H287" s="230"/>
      <c r="I287" s="230"/>
      <c r="J287" s="230"/>
      <c r="K287" s="230"/>
      <c r="L287" s="230"/>
      <c r="M287" s="230"/>
      <c r="N287" s="230"/>
      <c r="O287" s="230"/>
      <c r="P287" s="230"/>
      <c r="Q287" s="230"/>
      <c r="R287" s="230"/>
      <c r="S287" s="230"/>
      <c r="T287" s="230"/>
      <c r="U287" s="230"/>
      <c r="V287" s="230"/>
      <c r="W287" s="230"/>
      <c r="X287" s="230"/>
      <c r="Y287" s="230"/>
      <c r="Z287" s="230"/>
      <c r="AA287" s="230"/>
    </row>
    <row r="288" spans="1:27">
      <c r="A288" s="276"/>
      <c r="B288" s="230"/>
      <c r="C288" s="230"/>
      <c r="D288" s="230"/>
      <c r="E288" s="230"/>
      <c r="F288" s="230"/>
      <c r="G288" s="230"/>
      <c r="H288" s="230"/>
      <c r="I288" s="230"/>
      <c r="J288" s="230"/>
      <c r="K288" s="230"/>
      <c r="L288" s="230"/>
      <c r="M288" s="230"/>
      <c r="N288" s="230"/>
      <c r="O288" s="230"/>
      <c r="P288" s="230"/>
      <c r="Q288" s="230"/>
      <c r="R288" s="230"/>
      <c r="S288" s="230"/>
      <c r="T288" s="230"/>
      <c r="U288" s="230"/>
      <c r="V288" s="230"/>
      <c r="W288" s="230"/>
      <c r="X288" s="230"/>
      <c r="Y288" s="230"/>
      <c r="Z288" s="230"/>
      <c r="AA288" s="230"/>
    </row>
    <row r="289" spans="1:27">
      <c r="A289" s="276"/>
      <c r="B289" s="230"/>
      <c r="C289" s="230"/>
      <c r="D289" s="230"/>
      <c r="E289" s="230"/>
      <c r="F289" s="230"/>
      <c r="G289" s="230"/>
      <c r="H289" s="230"/>
      <c r="I289" s="230"/>
      <c r="J289" s="230"/>
      <c r="K289" s="230"/>
      <c r="L289" s="230"/>
      <c r="M289" s="230"/>
      <c r="N289" s="230"/>
      <c r="O289" s="230"/>
      <c r="P289" s="230"/>
      <c r="Q289" s="230"/>
      <c r="R289" s="230"/>
      <c r="S289" s="230"/>
      <c r="T289" s="230"/>
      <c r="U289" s="230"/>
      <c r="V289" s="230"/>
      <c r="W289" s="230"/>
      <c r="X289" s="230"/>
      <c r="Y289" s="230"/>
      <c r="Z289" s="230"/>
      <c r="AA289" s="230"/>
    </row>
    <row r="290" spans="1:27">
      <c r="A290" s="276"/>
      <c r="B290" s="230"/>
      <c r="C290" s="230"/>
      <c r="D290" s="230"/>
      <c r="E290" s="230"/>
      <c r="F290" s="230"/>
      <c r="G290" s="230"/>
      <c r="H290" s="230"/>
      <c r="I290" s="230"/>
      <c r="J290" s="230"/>
      <c r="K290" s="230"/>
      <c r="L290" s="230"/>
      <c r="M290" s="230"/>
      <c r="N290" s="230"/>
      <c r="O290" s="230"/>
      <c r="P290" s="230"/>
      <c r="Q290" s="230"/>
      <c r="R290" s="230"/>
      <c r="S290" s="230"/>
      <c r="T290" s="230"/>
      <c r="U290" s="230"/>
      <c r="V290" s="230"/>
      <c r="W290" s="230"/>
      <c r="X290" s="230"/>
      <c r="Y290" s="230"/>
      <c r="Z290" s="230"/>
      <c r="AA290" s="230"/>
    </row>
    <row r="291" spans="1:27">
      <c r="A291" s="276"/>
      <c r="B291" s="230"/>
      <c r="C291" s="230"/>
      <c r="D291" s="230"/>
      <c r="E291" s="230"/>
      <c r="F291" s="230"/>
      <c r="G291" s="230"/>
      <c r="H291" s="230"/>
      <c r="I291" s="230"/>
      <c r="J291" s="230"/>
      <c r="K291" s="230"/>
      <c r="L291" s="230"/>
      <c r="M291" s="230"/>
      <c r="N291" s="230"/>
      <c r="O291" s="230"/>
      <c r="P291" s="230"/>
      <c r="Q291" s="230"/>
      <c r="R291" s="230"/>
      <c r="S291" s="230"/>
      <c r="T291" s="230"/>
      <c r="U291" s="230"/>
      <c r="V291" s="230"/>
      <c r="W291" s="230"/>
      <c r="X291" s="230"/>
      <c r="Y291" s="230"/>
      <c r="Z291" s="230"/>
      <c r="AA291" s="230"/>
    </row>
    <row r="292" spans="1:27">
      <c r="A292" s="276"/>
      <c r="B292" s="230"/>
      <c r="C292" s="230"/>
      <c r="D292" s="230"/>
      <c r="E292" s="230"/>
      <c r="F292" s="230"/>
      <c r="G292" s="230"/>
      <c r="H292" s="230"/>
      <c r="I292" s="230"/>
      <c r="J292" s="230"/>
      <c r="K292" s="230"/>
      <c r="L292" s="230"/>
      <c r="M292" s="230"/>
      <c r="N292" s="230"/>
      <c r="O292" s="230"/>
      <c r="P292" s="230"/>
      <c r="Q292" s="230"/>
      <c r="R292" s="230"/>
      <c r="S292" s="230"/>
      <c r="T292" s="230"/>
      <c r="U292" s="230"/>
      <c r="V292" s="230"/>
      <c r="W292" s="230"/>
      <c r="X292" s="230"/>
      <c r="Y292" s="230"/>
      <c r="Z292" s="230"/>
      <c r="AA292" s="230"/>
    </row>
    <row r="293" spans="1:27">
      <c r="A293" s="276"/>
      <c r="B293" s="230"/>
      <c r="C293" s="230"/>
      <c r="D293" s="230"/>
      <c r="E293" s="230"/>
      <c r="F293" s="230"/>
      <c r="G293" s="230"/>
      <c r="H293" s="230"/>
      <c r="I293" s="230"/>
      <c r="J293" s="230"/>
      <c r="K293" s="230"/>
      <c r="L293" s="230"/>
      <c r="M293" s="230"/>
      <c r="N293" s="230"/>
      <c r="O293" s="230"/>
      <c r="P293" s="230"/>
      <c r="Q293" s="230"/>
      <c r="R293" s="230"/>
      <c r="S293" s="230"/>
      <c r="T293" s="230"/>
      <c r="U293" s="230"/>
      <c r="V293" s="230"/>
      <c r="W293" s="230"/>
      <c r="X293" s="230"/>
      <c r="Y293" s="230"/>
      <c r="Z293" s="230"/>
      <c r="AA293" s="230"/>
    </row>
    <row r="294" spans="1:27">
      <c r="A294" s="276"/>
      <c r="B294" s="230"/>
      <c r="C294" s="230"/>
      <c r="D294" s="230"/>
      <c r="E294" s="230"/>
      <c r="F294" s="230"/>
      <c r="G294" s="230"/>
      <c r="H294" s="230"/>
      <c r="I294" s="230"/>
      <c r="J294" s="230"/>
      <c r="K294" s="230"/>
      <c r="L294" s="230"/>
      <c r="M294" s="230"/>
      <c r="N294" s="230"/>
      <c r="O294" s="230"/>
      <c r="P294" s="230"/>
      <c r="Q294" s="230"/>
      <c r="R294" s="230"/>
      <c r="S294" s="230"/>
      <c r="T294" s="230"/>
      <c r="U294" s="230"/>
      <c r="V294" s="230"/>
      <c r="W294" s="230"/>
      <c r="X294" s="230"/>
      <c r="Y294" s="230"/>
      <c r="Z294" s="230"/>
      <c r="AA294" s="230"/>
    </row>
    <row r="295" spans="1:27">
      <c r="A295" s="276"/>
      <c r="B295" s="230"/>
      <c r="C295" s="230"/>
      <c r="D295" s="230"/>
      <c r="E295" s="230"/>
      <c r="F295" s="230"/>
      <c r="G295" s="230"/>
      <c r="H295" s="230"/>
      <c r="I295" s="230"/>
      <c r="J295" s="230"/>
      <c r="K295" s="230"/>
      <c r="L295" s="230"/>
      <c r="M295" s="230"/>
      <c r="N295" s="230"/>
      <c r="O295" s="230"/>
      <c r="P295" s="230"/>
      <c r="Q295" s="230"/>
      <c r="R295" s="230"/>
      <c r="S295" s="230"/>
      <c r="T295" s="230"/>
      <c r="U295" s="230"/>
      <c r="V295" s="230"/>
      <c r="W295" s="230"/>
      <c r="X295" s="230"/>
      <c r="Y295" s="230"/>
      <c r="Z295" s="230"/>
      <c r="AA295" s="230"/>
    </row>
    <row r="296" spans="1:27">
      <c r="A296" s="276"/>
      <c r="B296" s="230"/>
      <c r="C296" s="230"/>
      <c r="D296" s="230"/>
      <c r="E296" s="230"/>
      <c r="F296" s="230"/>
      <c r="G296" s="230"/>
      <c r="H296" s="230"/>
      <c r="I296" s="230"/>
      <c r="J296" s="230"/>
      <c r="K296" s="230"/>
      <c r="L296" s="230"/>
      <c r="M296" s="230"/>
      <c r="N296" s="230"/>
      <c r="O296" s="230"/>
      <c r="P296" s="230"/>
      <c r="Q296" s="230"/>
      <c r="R296" s="230"/>
      <c r="S296" s="230"/>
      <c r="T296" s="230"/>
      <c r="U296" s="230"/>
      <c r="V296" s="230"/>
      <c r="W296" s="230"/>
      <c r="X296" s="230"/>
      <c r="Y296" s="230"/>
      <c r="Z296" s="230"/>
      <c r="AA296" s="230"/>
    </row>
    <row r="297" spans="1:27">
      <c r="A297" s="276"/>
      <c r="B297" s="230"/>
      <c r="C297" s="230"/>
      <c r="D297" s="230"/>
      <c r="E297" s="230"/>
      <c r="F297" s="230"/>
      <c r="G297" s="230"/>
      <c r="H297" s="230"/>
      <c r="I297" s="230"/>
      <c r="J297" s="230"/>
      <c r="K297" s="230"/>
      <c r="L297" s="230"/>
      <c r="M297" s="230"/>
      <c r="N297" s="230"/>
      <c r="O297" s="230"/>
      <c r="P297" s="230"/>
      <c r="Q297" s="230"/>
      <c r="R297" s="230"/>
      <c r="S297" s="230"/>
      <c r="T297" s="230"/>
      <c r="U297" s="230"/>
      <c r="V297" s="230"/>
      <c r="W297" s="230"/>
      <c r="X297" s="230"/>
      <c r="Y297" s="230"/>
      <c r="Z297" s="230"/>
      <c r="AA297" s="230"/>
    </row>
    <row r="298" spans="1:27">
      <c r="A298" s="276"/>
      <c r="B298" s="230"/>
      <c r="C298" s="230"/>
      <c r="D298" s="230"/>
      <c r="E298" s="230"/>
      <c r="F298" s="230"/>
      <c r="G298" s="230"/>
      <c r="H298" s="230"/>
      <c r="I298" s="230"/>
      <c r="J298" s="230"/>
      <c r="K298" s="230"/>
      <c r="L298" s="230"/>
      <c r="M298" s="230"/>
      <c r="N298" s="230"/>
      <c r="O298" s="230"/>
      <c r="P298" s="230"/>
      <c r="Q298" s="230"/>
      <c r="R298" s="230"/>
      <c r="S298" s="230"/>
      <c r="T298" s="230"/>
      <c r="U298" s="230"/>
      <c r="V298" s="230"/>
      <c r="W298" s="230"/>
      <c r="X298" s="230"/>
      <c r="Y298" s="230"/>
      <c r="Z298" s="230"/>
      <c r="AA298" s="230"/>
    </row>
    <row r="299" spans="1:27">
      <c r="A299" s="276"/>
      <c r="B299" s="230"/>
      <c r="C299" s="230"/>
      <c r="D299" s="230"/>
      <c r="E299" s="230"/>
      <c r="F299" s="230"/>
      <c r="G299" s="230"/>
      <c r="H299" s="230"/>
      <c r="I299" s="230"/>
      <c r="J299" s="230"/>
      <c r="K299" s="230"/>
      <c r="L299" s="230"/>
      <c r="M299" s="230"/>
      <c r="N299" s="230"/>
      <c r="O299" s="230"/>
      <c r="P299" s="230"/>
      <c r="Q299" s="230"/>
      <c r="R299" s="230"/>
      <c r="S299" s="230"/>
      <c r="T299" s="230"/>
      <c r="U299" s="230"/>
      <c r="V299" s="230"/>
      <c r="W299" s="230"/>
      <c r="X299" s="230"/>
      <c r="Y299" s="230"/>
      <c r="Z299" s="230"/>
      <c r="AA299" s="230"/>
    </row>
    <row r="300" spans="1:27">
      <c r="A300" s="276"/>
      <c r="B300" s="230"/>
      <c r="C300" s="230"/>
      <c r="D300" s="230"/>
      <c r="E300" s="230"/>
      <c r="F300" s="230"/>
      <c r="G300" s="230"/>
      <c r="H300" s="230"/>
      <c r="I300" s="230"/>
      <c r="J300" s="230"/>
      <c r="K300" s="230"/>
      <c r="L300" s="230"/>
      <c r="M300" s="230"/>
      <c r="N300" s="230"/>
      <c r="O300" s="230"/>
      <c r="P300" s="230"/>
      <c r="Q300" s="230"/>
      <c r="R300" s="230"/>
      <c r="S300" s="230"/>
      <c r="T300" s="230"/>
      <c r="U300" s="230"/>
      <c r="V300" s="230"/>
      <c r="W300" s="230"/>
      <c r="X300" s="230"/>
      <c r="Y300" s="230"/>
      <c r="Z300" s="230"/>
      <c r="AA300" s="230"/>
    </row>
    <row r="301" spans="1:27">
      <c r="A301" s="276"/>
      <c r="B301" s="230"/>
      <c r="C301" s="230"/>
      <c r="D301" s="230"/>
      <c r="E301" s="230"/>
      <c r="F301" s="230"/>
      <c r="G301" s="230"/>
      <c r="H301" s="230"/>
      <c r="I301" s="230"/>
      <c r="J301" s="230"/>
      <c r="K301" s="230"/>
      <c r="L301" s="230"/>
      <c r="M301" s="230"/>
      <c r="N301" s="230"/>
      <c r="O301" s="230"/>
      <c r="P301" s="230"/>
      <c r="Q301" s="230"/>
      <c r="R301" s="230"/>
      <c r="S301" s="230"/>
      <c r="T301" s="230"/>
      <c r="U301" s="230"/>
      <c r="V301" s="230"/>
      <c r="W301" s="230"/>
      <c r="X301" s="230"/>
      <c r="Y301" s="230"/>
      <c r="Z301" s="230"/>
      <c r="AA301" s="230"/>
    </row>
    <row r="302" spans="1:27">
      <c r="A302" s="276"/>
      <c r="B302" s="230"/>
      <c r="C302" s="230"/>
      <c r="D302" s="230"/>
      <c r="E302" s="230"/>
      <c r="F302" s="230"/>
      <c r="G302" s="230"/>
      <c r="H302" s="230"/>
      <c r="I302" s="230"/>
      <c r="J302" s="230"/>
      <c r="K302" s="230"/>
      <c r="L302" s="230"/>
      <c r="M302" s="230"/>
      <c r="N302" s="230"/>
      <c r="O302" s="230"/>
      <c r="P302" s="230"/>
      <c r="Q302" s="230"/>
      <c r="R302" s="230"/>
      <c r="S302" s="230"/>
      <c r="T302" s="230"/>
      <c r="U302" s="230"/>
      <c r="V302" s="230"/>
      <c r="W302" s="230"/>
      <c r="X302" s="230"/>
      <c r="Y302" s="230"/>
      <c r="Z302" s="230"/>
      <c r="AA302" s="230"/>
    </row>
    <row r="303" spans="1:27">
      <c r="A303" s="276"/>
      <c r="B303" s="230"/>
      <c r="C303" s="230"/>
      <c r="D303" s="230"/>
      <c r="E303" s="230"/>
      <c r="F303" s="230"/>
      <c r="G303" s="230"/>
      <c r="H303" s="230"/>
      <c r="I303" s="230"/>
      <c r="J303" s="230"/>
      <c r="K303" s="230"/>
      <c r="L303" s="230"/>
      <c r="M303" s="230"/>
      <c r="N303" s="230"/>
      <c r="O303" s="230"/>
      <c r="P303" s="230"/>
      <c r="Q303" s="230"/>
      <c r="R303" s="230"/>
      <c r="S303" s="230"/>
      <c r="T303" s="230"/>
      <c r="U303" s="230"/>
      <c r="V303" s="230"/>
      <c r="W303" s="230"/>
      <c r="X303" s="230"/>
      <c r="Y303" s="230"/>
      <c r="Z303" s="230"/>
      <c r="AA303" s="230"/>
    </row>
    <row r="304" spans="1:27">
      <c r="A304" s="276"/>
      <c r="B304" s="230"/>
      <c r="C304" s="230"/>
      <c r="D304" s="230"/>
      <c r="E304" s="230"/>
      <c r="F304" s="230"/>
      <c r="G304" s="230"/>
      <c r="H304" s="230"/>
      <c r="I304" s="230"/>
      <c r="J304" s="230"/>
      <c r="K304" s="230"/>
      <c r="L304" s="230"/>
      <c r="M304" s="230"/>
      <c r="N304" s="230"/>
      <c r="O304" s="230"/>
      <c r="P304" s="230"/>
      <c r="Q304" s="230"/>
      <c r="R304" s="230"/>
      <c r="S304" s="230"/>
      <c r="T304" s="230"/>
      <c r="U304" s="230"/>
      <c r="V304" s="230"/>
      <c r="W304" s="230"/>
      <c r="X304" s="230"/>
      <c r="Y304" s="230"/>
      <c r="Z304" s="230"/>
      <c r="AA304" s="230"/>
    </row>
    <row r="305" spans="1:27">
      <c r="A305" s="276"/>
      <c r="B305" s="230"/>
      <c r="C305" s="230"/>
      <c r="D305" s="230"/>
      <c r="E305" s="230"/>
      <c r="F305" s="230"/>
      <c r="G305" s="230"/>
      <c r="H305" s="230"/>
      <c r="I305" s="230"/>
      <c r="J305" s="230"/>
      <c r="K305" s="230"/>
      <c r="L305" s="230"/>
      <c r="M305" s="230"/>
      <c r="N305" s="230"/>
      <c r="O305" s="230"/>
      <c r="P305" s="230"/>
      <c r="Q305" s="230"/>
      <c r="R305" s="230"/>
      <c r="S305" s="230"/>
      <c r="T305" s="230"/>
      <c r="U305" s="230"/>
      <c r="V305" s="230"/>
      <c r="W305" s="230"/>
      <c r="X305" s="230"/>
      <c r="Y305" s="230"/>
      <c r="Z305" s="230"/>
      <c r="AA305" s="230"/>
    </row>
    <row r="306" spans="1:27">
      <c r="A306" s="276"/>
      <c r="B306" s="230"/>
      <c r="C306" s="230"/>
      <c r="D306" s="230"/>
      <c r="E306" s="230"/>
      <c r="F306" s="230"/>
      <c r="G306" s="230"/>
      <c r="H306" s="230"/>
      <c r="I306" s="230"/>
      <c r="J306" s="230"/>
      <c r="K306" s="230"/>
      <c r="L306" s="230"/>
      <c r="M306" s="230"/>
      <c r="N306" s="230"/>
      <c r="O306" s="230"/>
      <c r="P306" s="230"/>
      <c r="Q306" s="230"/>
      <c r="R306" s="230"/>
      <c r="S306" s="230"/>
      <c r="T306" s="230"/>
      <c r="U306" s="230"/>
      <c r="V306" s="230"/>
      <c r="W306" s="230"/>
      <c r="X306" s="230"/>
      <c r="Y306" s="230"/>
      <c r="Z306" s="230"/>
      <c r="AA306" s="230"/>
    </row>
    <row r="307" spans="1:27">
      <c r="A307" s="276"/>
      <c r="B307" s="230"/>
      <c r="C307" s="230"/>
      <c r="D307" s="230"/>
      <c r="E307" s="230"/>
      <c r="F307" s="230"/>
      <c r="G307" s="230"/>
      <c r="H307" s="230"/>
      <c r="I307" s="230"/>
      <c r="J307" s="230"/>
      <c r="K307" s="230"/>
      <c r="L307" s="230"/>
      <c r="M307" s="230"/>
      <c r="N307" s="230"/>
      <c r="O307" s="230"/>
      <c r="P307" s="230"/>
      <c r="Q307" s="230"/>
      <c r="R307" s="230"/>
      <c r="S307" s="230"/>
      <c r="T307" s="230"/>
      <c r="U307" s="230"/>
      <c r="V307" s="230"/>
      <c r="W307" s="230"/>
      <c r="X307" s="230"/>
      <c r="Y307" s="230"/>
      <c r="Z307" s="230"/>
      <c r="AA307" s="230"/>
    </row>
    <row r="308" spans="1:27">
      <c r="A308" s="276"/>
      <c r="B308" s="230"/>
      <c r="C308" s="230"/>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row>
    <row r="309" spans="1:27">
      <c r="A309" s="276"/>
      <c r="B309" s="230"/>
      <c r="C309" s="230"/>
      <c r="D309" s="230"/>
      <c r="E309" s="230"/>
      <c r="F309" s="230"/>
      <c r="G309" s="230"/>
      <c r="H309" s="230"/>
      <c r="I309" s="230"/>
      <c r="J309" s="230"/>
      <c r="K309" s="230"/>
      <c r="L309" s="230"/>
      <c r="M309" s="230"/>
      <c r="N309" s="230"/>
      <c r="O309" s="230"/>
      <c r="P309" s="230"/>
      <c r="Q309" s="230"/>
      <c r="R309" s="230"/>
      <c r="S309" s="230"/>
      <c r="T309" s="230"/>
      <c r="U309" s="230"/>
      <c r="V309" s="230"/>
      <c r="W309" s="230"/>
      <c r="X309" s="230"/>
      <c r="Y309" s="230"/>
      <c r="Z309" s="230"/>
      <c r="AA309" s="230"/>
    </row>
    <row r="310" spans="1:27">
      <c r="A310" s="276"/>
      <c r="B310" s="230"/>
      <c r="C310" s="230"/>
      <c r="D310" s="230"/>
      <c r="E310" s="230"/>
      <c r="F310" s="230"/>
      <c r="G310" s="230"/>
      <c r="H310" s="230"/>
      <c r="I310" s="230"/>
      <c r="J310" s="230"/>
      <c r="K310" s="230"/>
      <c r="L310" s="230"/>
      <c r="M310" s="230"/>
      <c r="N310" s="230"/>
      <c r="O310" s="230"/>
      <c r="P310" s="230"/>
      <c r="Q310" s="230"/>
      <c r="R310" s="230"/>
      <c r="S310" s="230"/>
      <c r="T310" s="230"/>
      <c r="U310" s="230"/>
      <c r="V310" s="230"/>
      <c r="W310" s="230"/>
      <c r="X310" s="230"/>
      <c r="Y310" s="230"/>
      <c r="Z310" s="230"/>
      <c r="AA310" s="230"/>
    </row>
    <row r="311" spans="1:27">
      <c r="A311" s="276"/>
      <c r="B311" s="230"/>
      <c r="C311" s="230"/>
      <c r="D311" s="230"/>
      <c r="E311" s="230"/>
      <c r="F311" s="230"/>
      <c r="G311" s="230"/>
      <c r="H311" s="230"/>
      <c r="I311" s="230"/>
      <c r="J311" s="230"/>
      <c r="K311" s="230"/>
      <c r="L311" s="230"/>
      <c r="M311" s="230"/>
      <c r="N311" s="230"/>
      <c r="O311" s="230"/>
      <c r="P311" s="230"/>
      <c r="Q311" s="230"/>
      <c r="R311" s="230"/>
      <c r="S311" s="230"/>
      <c r="T311" s="230"/>
      <c r="U311" s="230"/>
      <c r="V311" s="230"/>
      <c r="W311" s="230"/>
      <c r="X311" s="230"/>
      <c r="Y311" s="230"/>
      <c r="Z311" s="230"/>
      <c r="AA311" s="230"/>
    </row>
    <row r="312" spans="1:27">
      <c r="A312" s="276"/>
      <c r="B312" s="230"/>
      <c r="C312" s="230"/>
      <c r="D312" s="230"/>
      <c r="E312" s="230"/>
      <c r="F312" s="230"/>
      <c r="G312" s="230"/>
      <c r="H312" s="230"/>
      <c r="I312" s="230"/>
      <c r="J312" s="230"/>
      <c r="K312" s="230"/>
      <c r="L312" s="230"/>
      <c r="M312" s="230"/>
      <c r="N312" s="230"/>
      <c r="O312" s="230"/>
      <c r="P312" s="230"/>
      <c r="Q312" s="230"/>
      <c r="R312" s="230"/>
      <c r="S312" s="230"/>
      <c r="T312" s="230"/>
      <c r="U312" s="230"/>
      <c r="V312" s="230"/>
      <c r="W312" s="230"/>
      <c r="X312" s="230"/>
      <c r="Y312" s="230"/>
      <c r="Z312" s="230"/>
      <c r="AA312" s="230"/>
    </row>
    <row r="313" spans="1:27">
      <c r="A313" s="276"/>
      <c r="B313" s="230"/>
      <c r="C313" s="230"/>
      <c r="D313" s="230"/>
      <c r="E313" s="230"/>
      <c r="F313" s="230"/>
      <c r="G313" s="230"/>
      <c r="H313" s="230"/>
      <c r="I313" s="230"/>
      <c r="J313" s="230"/>
      <c r="K313" s="230"/>
      <c r="L313" s="230"/>
      <c r="M313" s="230"/>
      <c r="N313" s="230"/>
      <c r="O313" s="230"/>
      <c r="P313" s="230"/>
      <c r="Q313" s="230"/>
      <c r="R313" s="230"/>
      <c r="S313" s="230"/>
      <c r="T313" s="230"/>
      <c r="U313" s="230"/>
      <c r="V313" s="230"/>
      <c r="W313" s="230"/>
      <c r="X313" s="230"/>
      <c r="Y313" s="230"/>
      <c r="Z313" s="230"/>
      <c r="AA313" s="230"/>
    </row>
    <row r="314" spans="1:27">
      <c r="A314" s="276"/>
      <c r="B314" s="230"/>
      <c r="C314" s="230"/>
      <c r="D314" s="230"/>
      <c r="E314" s="230"/>
      <c r="F314" s="230"/>
      <c r="G314" s="230"/>
      <c r="H314" s="230"/>
      <c r="I314" s="230"/>
      <c r="J314" s="230"/>
      <c r="K314" s="230"/>
      <c r="L314" s="230"/>
      <c r="M314" s="230"/>
      <c r="N314" s="230"/>
      <c r="O314" s="230"/>
      <c r="P314" s="230"/>
      <c r="Q314" s="230"/>
      <c r="R314" s="230"/>
      <c r="S314" s="230"/>
      <c r="T314" s="230"/>
      <c r="U314" s="230"/>
      <c r="V314" s="230"/>
      <c r="W314" s="230"/>
      <c r="X314" s="230"/>
      <c r="Y314" s="230"/>
      <c r="Z314" s="230"/>
      <c r="AA314" s="230"/>
    </row>
    <row r="315" spans="1:27">
      <c r="A315" s="276"/>
      <c r="B315" s="230"/>
      <c r="C315" s="230"/>
      <c r="D315" s="230"/>
      <c r="E315" s="230"/>
      <c r="F315" s="230"/>
      <c r="G315" s="230"/>
      <c r="H315" s="230"/>
      <c r="I315" s="230"/>
      <c r="J315" s="230"/>
      <c r="K315" s="230"/>
      <c r="L315" s="230"/>
      <c r="M315" s="230"/>
      <c r="N315" s="230"/>
      <c r="O315" s="230"/>
      <c r="P315" s="230"/>
      <c r="Q315" s="230"/>
      <c r="R315" s="230"/>
      <c r="S315" s="230"/>
      <c r="T315" s="230"/>
      <c r="U315" s="230"/>
      <c r="V315" s="230"/>
      <c r="W315" s="230"/>
      <c r="X315" s="230"/>
      <c r="Y315" s="230"/>
      <c r="Z315" s="230"/>
      <c r="AA315" s="230"/>
    </row>
    <row r="316" spans="1:27">
      <c r="A316" s="276"/>
      <c r="B316" s="230"/>
      <c r="C316" s="230"/>
      <c r="D316" s="230"/>
      <c r="E316" s="230"/>
      <c r="F316" s="230"/>
      <c r="G316" s="230"/>
      <c r="H316" s="230"/>
      <c r="I316" s="230"/>
      <c r="J316" s="230"/>
      <c r="K316" s="230"/>
      <c r="L316" s="230"/>
      <c r="M316" s="230"/>
      <c r="N316" s="230"/>
      <c r="O316" s="230"/>
      <c r="P316" s="230"/>
      <c r="Q316" s="230"/>
      <c r="R316" s="230"/>
      <c r="S316" s="230"/>
      <c r="T316" s="230"/>
      <c r="U316" s="230"/>
      <c r="V316" s="230"/>
      <c r="W316" s="230"/>
      <c r="X316" s="230"/>
      <c r="Y316" s="230"/>
      <c r="Z316" s="230"/>
      <c r="AA316" s="230"/>
    </row>
    <row r="317" spans="1:27">
      <c r="A317" s="276"/>
      <c r="B317" s="230"/>
      <c r="C317" s="230"/>
      <c r="D317" s="230"/>
      <c r="E317" s="230"/>
      <c r="F317" s="230"/>
      <c r="G317" s="230"/>
      <c r="H317" s="230"/>
      <c r="I317" s="230"/>
      <c r="J317" s="230"/>
      <c r="K317" s="230"/>
      <c r="L317" s="230"/>
      <c r="M317" s="230"/>
      <c r="N317" s="230"/>
      <c r="O317" s="230"/>
      <c r="P317" s="230"/>
      <c r="Q317" s="230"/>
      <c r="R317" s="230"/>
      <c r="S317" s="230"/>
      <c r="T317" s="230"/>
      <c r="U317" s="230"/>
      <c r="V317" s="230"/>
      <c r="W317" s="230"/>
      <c r="X317" s="230"/>
      <c r="Y317" s="230"/>
      <c r="Z317" s="230"/>
      <c r="AA317" s="230"/>
    </row>
    <row r="318" spans="1:27">
      <c r="A318" s="276"/>
      <c r="B318" s="230"/>
      <c r="C318" s="230"/>
      <c r="D318" s="230"/>
      <c r="E318" s="230"/>
      <c r="F318" s="230"/>
      <c r="G318" s="230"/>
      <c r="H318" s="230"/>
      <c r="I318" s="230"/>
      <c r="J318" s="230"/>
      <c r="K318" s="230"/>
      <c r="L318" s="230"/>
      <c r="M318" s="230"/>
      <c r="N318" s="230"/>
      <c r="O318" s="230"/>
      <c r="P318" s="230"/>
      <c r="Q318" s="230"/>
      <c r="R318" s="230"/>
      <c r="S318" s="230"/>
      <c r="T318" s="230"/>
      <c r="U318" s="230"/>
      <c r="V318" s="230"/>
      <c r="W318" s="230"/>
      <c r="X318" s="230"/>
      <c r="Y318" s="230"/>
      <c r="Z318" s="230"/>
      <c r="AA318" s="230"/>
    </row>
    <row r="319" spans="1:27">
      <c r="A319" s="276"/>
      <c r="B319" s="230"/>
      <c r="C319" s="230"/>
      <c r="D319" s="230"/>
      <c r="E319" s="230"/>
      <c r="F319" s="230"/>
      <c r="G319" s="230"/>
      <c r="H319" s="230"/>
      <c r="I319" s="230"/>
      <c r="J319" s="230"/>
      <c r="K319" s="230"/>
      <c r="L319" s="230"/>
      <c r="M319" s="230"/>
      <c r="N319" s="230"/>
      <c r="O319" s="230"/>
      <c r="P319" s="230"/>
      <c r="Q319" s="230"/>
      <c r="R319" s="230"/>
      <c r="S319" s="230"/>
      <c r="T319" s="230"/>
      <c r="U319" s="230"/>
      <c r="V319" s="230"/>
      <c r="W319" s="230"/>
      <c r="X319" s="230"/>
      <c r="Y319" s="230"/>
      <c r="Z319" s="230"/>
      <c r="AA319" s="230"/>
    </row>
    <row r="320" spans="1:27">
      <c r="A320" s="276"/>
      <c r="B320" s="230"/>
      <c r="C320" s="230"/>
      <c r="D320" s="230"/>
      <c r="E320" s="230"/>
      <c r="F320" s="230"/>
      <c r="G320" s="230"/>
      <c r="H320" s="230"/>
      <c r="I320" s="230"/>
      <c r="J320" s="230"/>
      <c r="K320" s="230"/>
      <c r="L320" s="230"/>
      <c r="M320" s="230"/>
      <c r="N320" s="230"/>
      <c r="O320" s="230"/>
      <c r="P320" s="230"/>
      <c r="Q320" s="230"/>
      <c r="R320" s="230"/>
      <c r="S320" s="230"/>
      <c r="T320" s="230"/>
      <c r="U320" s="230"/>
      <c r="V320" s="230"/>
      <c r="W320" s="230"/>
      <c r="X320" s="230"/>
      <c r="Y320" s="230"/>
      <c r="Z320" s="230"/>
      <c r="AA320" s="230"/>
    </row>
    <row r="321" spans="1:27">
      <c r="A321" s="276"/>
      <c r="B321" s="230"/>
      <c r="C321" s="230"/>
      <c r="D321" s="230"/>
      <c r="E321" s="230"/>
      <c r="F321" s="230"/>
      <c r="G321" s="230"/>
      <c r="H321" s="230"/>
      <c r="I321" s="230"/>
      <c r="J321" s="230"/>
      <c r="K321" s="230"/>
      <c r="L321" s="230"/>
      <c r="M321" s="230"/>
      <c r="N321" s="230"/>
      <c r="O321" s="230"/>
      <c r="P321" s="230"/>
      <c r="Q321" s="230"/>
      <c r="R321" s="230"/>
      <c r="S321" s="230"/>
      <c r="T321" s="230"/>
      <c r="U321" s="230"/>
      <c r="V321" s="230"/>
      <c r="W321" s="230"/>
      <c r="X321" s="230"/>
      <c r="Y321" s="230"/>
      <c r="Z321" s="230"/>
      <c r="AA321" s="230"/>
    </row>
    <row r="322" spans="1:27">
      <c r="A322" s="276"/>
      <c r="B322" s="230"/>
      <c r="C322" s="230"/>
      <c r="D322" s="230"/>
      <c r="E322" s="230"/>
      <c r="F322" s="230"/>
      <c r="G322" s="230"/>
      <c r="H322" s="230"/>
      <c r="I322" s="230"/>
      <c r="J322" s="230"/>
      <c r="K322" s="230"/>
      <c r="L322" s="230"/>
      <c r="M322" s="230"/>
      <c r="N322" s="230"/>
      <c r="O322" s="230"/>
      <c r="P322" s="230"/>
      <c r="Q322" s="230"/>
      <c r="R322" s="230"/>
      <c r="S322" s="230"/>
      <c r="T322" s="230"/>
      <c r="U322" s="230"/>
      <c r="V322" s="230"/>
      <c r="W322" s="230"/>
      <c r="X322" s="230"/>
      <c r="Y322" s="230"/>
      <c r="Z322" s="230"/>
      <c r="AA322" s="230"/>
    </row>
    <row r="323" spans="1:27">
      <c r="A323" s="276"/>
      <c r="B323" s="230"/>
      <c r="C323" s="230"/>
      <c r="D323" s="230"/>
      <c r="E323" s="230"/>
      <c r="F323" s="230"/>
      <c r="G323" s="230"/>
      <c r="H323" s="230"/>
      <c r="I323" s="230"/>
      <c r="J323" s="230"/>
      <c r="K323" s="230"/>
      <c r="L323" s="230"/>
      <c r="M323" s="230"/>
      <c r="N323" s="230"/>
      <c r="O323" s="230"/>
      <c r="P323" s="230"/>
      <c r="Q323" s="230"/>
      <c r="R323" s="230"/>
      <c r="S323" s="230"/>
      <c r="T323" s="230"/>
      <c r="U323" s="230"/>
      <c r="V323" s="230"/>
      <c r="W323" s="230"/>
      <c r="X323" s="230"/>
      <c r="Y323" s="230"/>
      <c r="Z323" s="230"/>
      <c r="AA323" s="230"/>
    </row>
    <row r="324" spans="1:27">
      <c r="A324" s="276"/>
      <c r="B324" s="230"/>
      <c r="C324" s="230"/>
      <c r="D324" s="230"/>
      <c r="E324" s="230"/>
      <c r="F324" s="230"/>
      <c r="G324" s="230"/>
      <c r="H324" s="230"/>
      <c r="I324" s="230"/>
      <c r="J324" s="230"/>
      <c r="K324" s="230"/>
      <c r="L324" s="230"/>
      <c r="M324" s="230"/>
      <c r="N324" s="230"/>
      <c r="O324" s="230"/>
      <c r="P324" s="230"/>
      <c r="Q324" s="230"/>
      <c r="R324" s="230"/>
      <c r="S324" s="230"/>
      <c r="T324" s="230"/>
      <c r="U324" s="230"/>
      <c r="V324" s="230"/>
      <c r="W324" s="230"/>
      <c r="X324" s="230"/>
      <c r="Y324" s="230"/>
      <c r="Z324" s="230"/>
      <c r="AA324" s="230"/>
    </row>
    <row r="325" spans="1:27">
      <c r="A325" s="276"/>
      <c r="B325" s="230"/>
      <c r="C325" s="230"/>
      <c r="D325" s="230"/>
      <c r="E325" s="230"/>
      <c r="F325" s="230"/>
      <c r="G325" s="230"/>
      <c r="H325" s="230"/>
      <c r="I325" s="230"/>
      <c r="J325" s="230"/>
      <c r="K325" s="230"/>
      <c r="L325" s="230"/>
      <c r="M325" s="230"/>
      <c r="N325" s="230"/>
      <c r="O325" s="230"/>
      <c r="P325" s="230"/>
      <c r="Q325" s="230"/>
      <c r="R325" s="230"/>
      <c r="S325" s="230"/>
      <c r="T325" s="230"/>
      <c r="U325" s="230"/>
      <c r="V325" s="230"/>
      <c r="W325" s="230"/>
      <c r="X325" s="230"/>
      <c r="Y325" s="230"/>
      <c r="Z325" s="230"/>
      <c r="AA325" s="230"/>
    </row>
    <row r="326" spans="1:27">
      <c r="A326" s="276"/>
      <c r="B326" s="230"/>
      <c r="C326" s="230"/>
      <c r="D326" s="230"/>
      <c r="E326" s="230"/>
      <c r="F326" s="230"/>
      <c r="G326" s="230"/>
      <c r="H326" s="230"/>
      <c r="I326" s="230"/>
      <c r="J326" s="230"/>
      <c r="K326" s="230"/>
      <c r="L326" s="230"/>
      <c r="M326" s="230"/>
      <c r="N326" s="230"/>
      <c r="O326" s="230"/>
      <c r="P326" s="230"/>
      <c r="Q326" s="230"/>
      <c r="R326" s="230"/>
      <c r="S326" s="230"/>
      <c r="T326" s="230"/>
      <c r="U326" s="230"/>
      <c r="V326" s="230"/>
      <c r="W326" s="230"/>
      <c r="X326" s="230"/>
      <c r="Y326" s="230"/>
      <c r="Z326" s="230"/>
      <c r="AA326" s="230"/>
    </row>
    <row r="327" spans="1:27">
      <c r="A327" s="276"/>
      <c r="B327" s="230"/>
      <c r="C327" s="230"/>
      <c r="D327" s="230"/>
      <c r="E327" s="230"/>
      <c r="F327" s="230"/>
      <c r="G327" s="230"/>
      <c r="H327" s="230"/>
      <c r="I327" s="230"/>
      <c r="J327" s="230"/>
      <c r="K327" s="230"/>
      <c r="L327" s="230"/>
      <c r="M327" s="230"/>
      <c r="N327" s="230"/>
      <c r="O327" s="230"/>
      <c r="P327" s="230"/>
      <c r="Q327" s="230"/>
      <c r="R327" s="230"/>
      <c r="S327" s="230"/>
      <c r="T327" s="230"/>
      <c r="U327" s="230"/>
      <c r="V327" s="230"/>
      <c r="W327" s="230"/>
      <c r="X327" s="230"/>
      <c r="Y327" s="230"/>
      <c r="Z327" s="230"/>
      <c r="AA327" s="230"/>
    </row>
    <row r="328" spans="1:27">
      <c r="A328" s="276"/>
      <c r="B328" s="230"/>
      <c r="C328" s="230"/>
      <c r="D328" s="230"/>
      <c r="E328" s="230"/>
      <c r="F328" s="230"/>
      <c r="G328" s="230"/>
      <c r="H328" s="230"/>
      <c r="I328" s="230"/>
      <c r="J328" s="230"/>
      <c r="K328" s="230"/>
      <c r="L328" s="230"/>
      <c r="M328" s="230"/>
      <c r="N328" s="230"/>
      <c r="O328" s="230"/>
      <c r="P328" s="230"/>
      <c r="Q328" s="230"/>
      <c r="R328" s="230"/>
      <c r="S328" s="230"/>
      <c r="T328" s="230"/>
      <c r="U328" s="230"/>
      <c r="V328" s="230"/>
      <c r="W328" s="230"/>
      <c r="X328" s="230"/>
      <c r="Y328" s="230"/>
      <c r="Z328" s="230"/>
      <c r="AA328" s="230"/>
    </row>
    <row r="329" spans="1:27">
      <c r="A329" s="276"/>
      <c r="B329" s="230"/>
      <c r="C329" s="230"/>
      <c r="D329" s="230"/>
      <c r="E329" s="230"/>
      <c r="F329" s="230"/>
      <c r="G329" s="230"/>
      <c r="H329" s="230"/>
      <c r="I329" s="230"/>
      <c r="J329" s="230"/>
      <c r="K329" s="230"/>
      <c r="L329" s="230"/>
      <c r="M329" s="230"/>
      <c r="N329" s="230"/>
      <c r="O329" s="230"/>
      <c r="P329" s="230"/>
      <c r="Q329" s="230"/>
      <c r="R329" s="230"/>
      <c r="S329" s="230"/>
      <c r="T329" s="230"/>
      <c r="U329" s="230"/>
      <c r="V329" s="230"/>
      <c r="W329" s="230"/>
      <c r="X329" s="230"/>
      <c r="Y329" s="230"/>
      <c r="Z329" s="230"/>
      <c r="AA329" s="230"/>
    </row>
    <row r="330" spans="1:27">
      <c r="A330" s="276"/>
      <c r="B330" s="230"/>
      <c r="C330" s="230"/>
      <c r="D330" s="230"/>
      <c r="E330" s="230"/>
      <c r="F330" s="230"/>
      <c r="G330" s="230"/>
      <c r="H330" s="230"/>
      <c r="I330" s="230"/>
      <c r="J330" s="230"/>
      <c r="K330" s="230"/>
      <c r="L330" s="230"/>
      <c r="M330" s="230"/>
      <c r="N330" s="230"/>
      <c r="O330" s="230"/>
      <c r="P330" s="230"/>
      <c r="Q330" s="230"/>
      <c r="R330" s="230"/>
      <c r="S330" s="230"/>
      <c r="T330" s="230"/>
      <c r="U330" s="230"/>
      <c r="V330" s="230"/>
      <c r="W330" s="230"/>
      <c r="X330" s="230"/>
      <c r="Y330" s="230"/>
      <c r="Z330" s="230"/>
      <c r="AA330" s="230"/>
    </row>
    <row r="331" spans="1:27">
      <c r="A331" s="276"/>
      <c r="B331" s="230"/>
      <c r="C331" s="230"/>
      <c r="D331" s="230"/>
      <c r="E331" s="230"/>
      <c r="F331" s="230"/>
      <c r="G331" s="230"/>
      <c r="H331" s="230"/>
      <c r="I331" s="230"/>
      <c r="J331" s="230"/>
      <c r="K331" s="230"/>
      <c r="L331" s="230"/>
      <c r="M331" s="230"/>
      <c r="N331" s="230"/>
      <c r="O331" s="230"/>
      <c r="P331" s="230"/>
      <c r="Q331" s="230"/>
      <c r="R331" s="230"/>
      <c r="S331" s="230"/>
      <c r="T331" s="230"/>
      <c r="U331" s="230"/>
      <c r="V331" s="230"/>
      <c r="W331" s="230"/>
      <c r="X331" s="230"/>
      <c r="Y331" s="230"/>
      <c r="Z331" s="230"/>
      <c r="AA331" s="230"/>
    </row>
    <row r="332" spans="1:27">
      <c r="A332" s="276"/>
      <c r="B332" s="230"/>
      <c r="C332" s="230"/>
      <c r="D332" s="230"/>
      <c r="E332" s="230"/>
      <c r="F332" s="230"/>
      <c r="G332" s="230"/>
      <c r="H332" s="230"/>
      <c r="I332" s="230"/>
      <c r="J332" s="230"/>
      <c r="K332" s="230"/>
      <c r="L332" s="230"/>
      <c r="M332" s="230"/>
      <c r="N332" s="230"/>
      <c r="O332" s="230"/>
      <c r="P332" s="230"/>
      <c r="Q332" s="230"/>
      <c r="R332" s="230"/>
      <c r="S332" s="230"/>
      <c r="T332" s="230"/>
      <c r="U332" s="230"/>
      <c r="V332" s="230"/>
      <c r="W332" s="230"/>
      <c r="X332" s="230"/>
      <c r="Y332" s="230"/>
      <c r="Z332" s="230"/>
      <c r="AA332" s="230"/>
    </row>
    <row r="333" spans="1:27">
      <c r="A333" s="276"/>
      <c r="B333" s="230"/>
      <c r="C333" s="230"/>
      <c r="D333" s="230"/>
      <c r="E333" s="230"/>
      <c r="F333" s="230"/>
      <c r="G333" s="230"/>
      <c r="H333" s="230"/>
      <c r="I333" s="230"/>
      <c r="J333" s="230"/>
      <c r="K333" s="230"/>
      <c r="L333" s="230"/>
      <c r="M333" s="230"/>
      <c r="N333" s="230"/>
      <c r="O333" s="230"/>
      <c r="P333" s="230"/>
      <c r="Q333" s="230"/>
      <c r="R333" s="230"/>
      <c r="S333" s="230"/>
      <c r="T333" s="230"/>
      <c r="U333" s="230"/>
      <c r="V333" s="230"/>
      <c r="W333" s="230"/>
      <c r="X333" s="230"/>
      <c r="Y333" s="230"/>
      <c r="Z333" s="230"/>
      <c r="AA333" s="230"/>
    </row>
    <row r="334" spans="1:27">
      <c r="A334" s="276"/>
      <c r="B334" s="230"/>
      <c r="C334" s="230"/>
      <c r="D334" s="230"/>
      <c r="E334" s="230"/>
      <c r="F334" s="230"/>
      <c r="G334" s="230"/>
      <c r="H334" s="230"/>
      <c r="I334" s="230"/>
      <c r="J334" s="230"/>
      <c r="K334" s="230"/>
      <c r="L334" s="230"/>
      <c r="M334" s="230"/>
      <c r="N334" s="230"/>
      <c r="O334" s="230"/>
      <c r="P334" s="230"/>
      <c r="Q334" s="230"/>
      <c r="R334" s="230"/>
      <c r="S334" s="230"/>
      <c r="T334" s="230"/>
      <c r="U334" s="230"/>
      <c r="V334" s="230"/>
      <c r="W334" s="230"/>
      <c r="X334" s="230"/>
      <c r="Y334" s="230"/>
      <c r="Z334" s="230"/>
      <c r="AA334" s="230"/>
    </row>
    <row r="335" spans="1:27">
      <c r="A335" s="276"/>
      <c r="B335" s="230"/>
      <c r="C335" s="230"/>
      <c r="D335" s="230"/>
      <c r="E335" s="230"/>
      <c r="F335" s="230"/>
      <c r="G335" s="230"/>
      <c r="H335" s="230"/>
      <c r="I335" s="230"/>
      <c r="J335" s="230"/>
      <c r="K335" s="230"/>
      <c r="L335" s="230"/>
      <c r="M335" s="230"/>
      <c r="N335" s="230"/>
      <c r="O335" s="230"/>
      <c r="P335" s="230"/>
      <c r="Q335" s="230"/>
      <c r="R335" s="230"/>
      <c r="S335" s="230"/>
      <c r="T335" s="230"/>
      <c r="U335" s="230"/>
      <c r="V335" s="230"/>
      <c r="W335" s="230"/>
      <c r="X335" s="230"/>
      <c r="Y335" s="230"/>
      <c r="Z335" s="230"/>
      <c r="AA335" s="230"/>
    </row>
    <row r="336" spans="1:27">
      <c r="A336" s="276"/>
      <c r="B336" s="230"/>
      <c r="C336" s="230"/>
      <c r="D336" s="230"/>
      <c r="E336" s="230"/>
      <c r="F336" s="230"/>
      <c r="G336" s="230"/>
      <c r="H336" s="230"/>
      <c r="I336" s="230"/>
      <c r="J336" s="230"/>
      <c r="K336" s="230"/>
      <c r="L336" s="230"/>
      <c r="M336" s="230"/>
      <c r="N336" s="230"/>
      <c r="O336" s="230"/>
      <c r="P336" s="230"/>
      <c r="Q336" s="230"/>
      <c r="R336" s="230"/>
      <c r="S336" s="230"/>
      <c r="T336" s="230"/>
      <c r="U336" s="230"/>
      <c r="V336" s="230"/>
      <c r="W336" s="230"/>
      <c r="X336" s="230"/>
      <c r="Y336" s="230"/>
      <c r="Z336" s="230"/>
      <c r="AA336" s="230"/>
    </row>
    <row r="337" spans="1:27">
      <c r="A337" s="276"/>
      <c r="B337" s="230"/>
      <c r="C337" s="230"/>
      <c r="D337" s="230"/>
      <c r="E337" s="230"/>
      <c r="F337" s="230"/>
      <c r="G337" s="230"/>
      <c r="H337" s="230"/>
      <c r="I337" s="230"/>
      <c r="J337" s="230"/>
      <c r="K337" s="230"/>
      <c r="L337" s="230"/>
      <c r="M337" s="230"/>
      <c r="N337" s="230"/>
      <c r="O337" s="230"/>
      <c r="P337" s="230"/>
      <c r="Q337" s="230"/>
      <c r="R337" s="230"/>
      <c r="S337" s="230"/>
      <c r="T337" s="230"/>
      <c r="U337" s="230"/>
      <c r="V337" s="230"/>
      <c r="W337" s="230"/>
      <c r="X337" s="230"/>
      <c r="Y337" s="230"/>
      <c r="Z337" s="230"/>
      <c r="AA337" s="230"/>
    </row>
    <row r="338" spans="1:27">
      <c r="A338" s="276"/>
      <c r="B338" s="230"/>
      <c r="C338" s="230"/>
      <c r="D338" s="230"/>
      <c r="E338" s="230"/>
      <c r="F338" s="230"/>
      <c r="G338" s="230"/>
      <c r="H338" s="230"/>
      <c r="I338" s="230"/>
      <c r="J338" s="230"/>
      <c r="K338" s="230"/>
      <c r="L338" s="230"/>
      <c r="M338" s="230"/>
      <c r="N338" s="230"/>
      <c r="O338" s="230"/>
      <c r="P338" s="230"/>
      <c r="Q338" s="230"/>
      <c r="R338" s="230"/>
      <c r="S338" s="230"/>
      <c r="T338" s="230"/>
      <c r="U338" s="230"/>
      <c r="V338" s="230"/>
      <c r="W338" s="230"/>
      <c r="X338" s="230"/>
      <c r="Y338" s="230"/>
      <c r="Z338" s="230"/>
      <c r="AA338" s="230"/>
    </row>
    <row r="339" spans="1:27">
      <c r="A339" s="276"/>
      <c r="B339" s="230"/>
      <c r="C339" s="230"/>
      <c r="D339" s="230"/>
      <c r="E339" s="230"/>
      <c r="F339" s="230"/>
      <c r="G339" s="230"/>
      <c r="H339" s="230"/>
      <c r="I339" s="230"/>
      <c r="J339" s="230"/>
      <c r="K339" s="230"/>
      <c r="L339" s="230"/>
      <c r="M339" s="230"/>
      <c r="N339" s="230"/>
      <c r="O339" s="230"/>
      <c r="P339" s="230"/>
      <c r="Q339" s="230"/>
      <c r="R339" s="230"/>
      <c r="S339" s="230"/>
      <c r="T339" s="230"/>
      <c r="U339" s="230"/>
      <c r="V339" s="230"/>
      <c r="W339" s="230"/>
      <c r="X339" s="230"/>
      <c r="Y339" s="230"/>
      <c r="Z339" s="230"/>
      <c r="AA339" s="230"/>
    </row>
    <row r="340" spans="1:27">
      <c r="A340" s="276"/>
      <c r="B340" s="230"/>
      <c r="C340" s="230"/>
      <c r="D340" s="230"/>
      <c r="E340" s="230"/>
      <c r="F340" s="230"/>
      <c r="G340" s="230"/>
      <c r="H340" s="230"/>
      <c r="I340" s="230"/>
      <c r="J340" s="230"/>
      <c r="K340" s="230"/>
      <c r="L340" s="230"/>
      <c r="M340" s="230"/>
      <c r="N340" s="230"/>
      <c r="O340" s="230"/>
      <c r="P340" s="230"/>
      <c r="Q340" s="230"/>
      <c r="R340" s="230"/>
      <c r="S340" s="230"/>
      <c r="T340" s="230"/>
      <c r="U340" s="230"/>
      <c r="V340" s="230"/>
      <c r="W340" s="230"/>
      <c r="X340" s="230"/>
      <c r="Y340" s="230"/>
      <c r="Z340" s="230"/>
      <c r="AA340" s="230"/>
    </row>
    <row r="341" spans="1:27">
      <c r="A341" s="276"/>
      <c r="B341" s="230"/>
      <c r="C341" s="230"/>
      <c r="D341" s="230"/>
      <c r="E341" s="230"/>
      <c r="F341" s="230"/>
      <c r="G341" s="230"/>
      <c r="H341" s="230"/>
      <c r="I341" s="230"/>
      <c r="J341" s="230"/>
      <c r="K341" s="230"/>
      <c r="L341" s="230"/>
      <c r="M341" s="230"/>
      <c r="N341" s="230"/>
      <c r="O341" s="230"/>
      <c r="P341" s="230"/>
      <c r="Q341" s="230"/>
      <c r="R341" s="230"/>
      <c r="S341" s="230"/>
      <c r="T341" s="230"/>
      <c r="U341" s="230"/>
      <c r="V341" s="230"/>
      <c r="W341" s="230"/>
      <c r="X341" s="230"/>
      <c r="Y341" s="230"/>
      <c r="Z341" s="230"/>
      <c r="AA341" s="230"/>
    </row>
    <row r="342" spans="1:27">
      <c r="A342" s="276"/>
      <c r="B342" s="230"/>
      <c r="C342" s="230"/>
      <c r="D342" s="230"/>
      <c r="E342" s="230"/>
      <c r="F342" s="230"/>
      <c r="G342" s="230"/>
      <c r="H342" s="230"/>
      <c r="I342" s="230"/>
      <c r="J342" s="230"/>
      <c r="K342" s="230"/>
      <c r="L342" s="230"/>
      <c r="M342" s="230"/>
      <c r="N342" s="230"/>
      <c r="O342" s="230"/>
      <c r="P342" s="230"/>
      <c r="Q342" s="230"/>
      <c r="R342" s="230"/>
      <c r="S342" s="230"/>
      <c r="T342" s="230"/>
      <c r="U342" s="230"/>
      <c r="V342" s="230"/>
      <c r="W342" s="230"/>
      <c r="X342" s="230"/>
      <c r="Y342" s="230"/>
      <c r="Z342" s="230"/>
      <c r="AA342" s="230"/>
    </row>
    <row r="343" spans="1:27">
      <c r="A343" s="276"/>
      <c r="B343" s="230"/>
      <c r="C343" s="230"/>
      <c r="D343" s="230"/>
      <c r="E343" s="230"/>
      <c r="F343" s="230"/>
      <c r="G343" s="230"/>
      <c r="H343" s="230"/>
      <c r="I343" s="230"/>
      <c r="J343" s="230"/>
      <c r="K343" s="230"/>
      <c r="L343" s="230"/>
      <c r="M343" s="230"/>
      <c r="N343" s="230"/>
      <c r="O343" s="230"/>
      <c r="P343" s="230"/>
      <c r="Q343" s="230"/>
      <c r="R343" s="230"/>
      <c r="S343" s="230"/>
      <c r="T343" s="230"/>
      <c r="U343" s="230"/>
      <c r="V343" s="230"/>
      <c r="W343" s="230"/>
      <c r="X343" s="230"/>
      <c r="Y343" s="230"/>
      <c r="Z343" s="230"/>
      <c r="AA343" s="230"/>
    </row>
    <row r="344" spans="1:27">
      <c r="A344" s="276"/>
      <c r="B344" s="230"/>
      <c r="C344" s="230"/>
      <c r="D344" s="230"/>
      <c r="E344" s="230"/>
      <c r="F344" s="230"/>
      <c r="G344" s="230"/>
      <c r="H344" s="230"/>
      <c r="I344" s="230"/>
      <c r="J344" s="230"/>
      <c r="K344" s="230"/>
      <c r="L344" s="230"/>
      <c r="M344" s="230"/>
      <c r="N344" s="230"/>
      <c r="O344" s="230"/>
      <c r="P344" s="230"/>
      <c r="Q344" s="230"/>
      <c r="R344" s="230"/>
      <c r="S344" s="230"/>
      <c r="T344" s="230"/>
      <c r="U344" s="230"/>
      <c r="V344" s="230"/>
      <c r="W344" s="230"/>
      <c r="X344" s="230"/>
      <c r="Y344" s="230"/>
      <c r="Z344" s="230"/>
      <c r="AA344" s="230"/>
    </row>
    <row r="345" spans="1:27">
      <c r="A345" s="276"/>
      <c r="B345" s="230"/>
      <c r="C345" s="230"/>
      <c r="D345" s="230"/>
      <c r="E345" s="230"/>
      <c r="F345" s="230"/>
      <c r="G345" s="230"/>
      <c r="H345" s="230"/>
      <c r="I345" s="230"/>
      <c r="J345" s="230"/>
      <c r="K345" s="230"/>
      <c r="L345" s="230"/>
      <c r="M345" s="230"/>
      <c r="N345" s="230"/>
      <c r="O345" s="230"/>
      <c r="P345" s="230"/>
      <c r="Q345" s="230"/>
      <c r="R345" s="230"/>
      <c r="S345" s="230"/>
      <c r="T345" s="230"/>
      <c r="U345" s="230"/>
      <c r="V345" s="230"/>
      <c r="W345" s="230"/>
      <c r="X345" s="230"/>
      <c r="Y345" s="230"/>
      <c r="Z345" s="230"/>
      <c r="AA345" s="230"/>
    </row>
    <row r="346" spans="1:27">
      <c r="A346" s="276"/>
      <c r="B346" s="230"/>
      <c r="C346" s="230"/>
      <c r="D346" s="230"/>
      <c r="E346" s="230"/>
      <c r="F346" s="230"/>
      <c r="G346" s="230"/>
      <c r="H346" s="230"/>
      <c r="I346" s="230"/>
      <c r="J346" s="230"/>
      <c r="K346" s="230"/>
      <c r="L346" s="230"/>
      <c r="M346" s="230"/>
      <c r="N346" s="230"/>
      <c r="O346" s="230"/>
      <c r="P346" s="230"/>
      <c r="Q346" s="230"/>
      <c r="R346" s="230"/>
      <c r="S346" s="230"/>
      <c r="T346" s="230"/>
      <c r="U346" s="230"/>
      <c r="V346" s="230"/>
      <c r="W346" s="230"/>
      <c r="X346" s="230"/>
      <c r="Y346" s="230"/>
      <c r="Z346" s="230"/>
      <c r="AA346" s="230"/>
    </row>
    <row r="347" spans="1:27">
      <c r="A347" s="276"/>
      <c r="B347" s="230"/>
      <c r="C347" s="230"/>
      <c r="D347" s="230"/>
      <c r="E347" s="230"/>
      <c r="F347" s="230"/>
      <c r="G347" s="230"/>
      <c r="H347" s="230"/>
      <c r="I347" s="230"/>
      <c r="J347" s="230"/>
      <c r="K347" s="230"/>
      <c r="L347" s="230"/>
      <c r="M347" s="230"/>
      <c r="N347" s="230"/>
      <c r="O347" s="230"/>
      <c r="P347" s="230"/>
      <c r="Q347" s="230"/>
      <c r="R347" s="230"/>
      <c r="S347" s="230"/>
      <c r="T347" s="230"/>
      <c r="U347" s="230"/>
      <c r="V347" s="230"/>
      <c r="W347" s="230"/>
      <c r="X347" s="230"/>
      <c r="Y347" s="230"/>
      <c r="Z347" s="230"/>
      <c r="AA347" s="230"/>
    </row>
    <row r="348" spans="1:27">
      <c r="A348" s="276"/>
      <c r="B348" s="230"/>
      <c r="C348" s="230"/>
      <c r="D348" s="230"/>
      <c r="E348" s="230"/>
      <c r="F348" s="230"/>
      <c r="G348" s="230"/>
      <c r="H348" s="230"/>
      <c r="I348" s="230"/>
      <c r="J348" s="230"/>
      <c r="K348" s="230"/>
      <c r="L348" s="230"/>
      <c r="M348" s="230"/>
      <c r="N348" s="230"/>
      <c r="O348" s="230"/>
      <c r="P348" s="230"/>
      <c r="Q348" s="230"/>
      <c r="R348" s="230"/>
      <c r="S348" s="230"/>
      <c r="T348" s="230"/>
      <c r="U348" s="230"/>
      <c r="V348" s="230"/>
      <c r="W348" s="230"/>
      <c r="X348" s="230"/>
      <c r="Y348" s="230"/>
      <c r="Z348" s="230"/>
      <c r="AA348" s="230"/>
    </row>
    <row r="349" spans="1:27">
      <c r="A349" s="276"/>
      <c r="B349" s="230"/>
      <c r="C349" s="230"/>
      <c r="D349" s="230"/>
      <c r="E349" s="230"/>
      <c r="F349" s="230"/>
      <c r="G349" s="230"/>
      <c r="H349" s="230"/>
      <c r="I349" s="230"/>
      <c r="J349" s="230"/>
      <c r="K349" s="230"/>
      <c r="L349" s="230"/>
      <c r="M349" s="230"/>
      <c r="N349" s="230"/>
      <c r="O349" s="230"/>
      <c r="P349" s="230"/>
      <c r="Q349" s="230"/>
      <c r="R349" s="230"/>
      <c r="S349" s="230"/>
      <c r="T349" s="230"/>
      <c r="U349" s="230"/>
      <c r="V349" s="230"/>
      <c r="W349" s="230"/>
      <c r="X349" s="230"/>
      <c r="Y349" s="230"/>
      <c r="Z349" s="230"/>
      <c r="AA349" s="230"/>
    </row>
    <row r="350" spans="1:27">
      <c r="A350" s="276"/>
      <c r="B350" s="230"/>
      <c r="C350" s="230"/>
      <c r="D350" s="230"/>
      <c r="E350" s="230"/>
      <c r="F350" s="230"/>
      <c r="G350" s="230"/>
      <c r="H350" s="230"/>
      <c r="I350" s="230"/>
      <c r="J350" s="230"/>
      <c r="K350" s="230"/>
      <c r="L350" s="230"/>
      <c r="M350" s="230"/>
      <c r="N350" s="230"/>
      <c r="O350" s="230"/>
      <c r="P350" s="230"/>
      <c r="Q350" s="230"/>
      <c r="R350" s="230"/>
      <c r="S350" s="230"/>
      <c r="T350" s="230"/>
      <c r="U350" s="230"/>
      <c r="V350" s="230"/>
      <c r="W350" s="230"/>
      <c r="X350" s="230"/>
      <c r="Y350" s="230"/>
      <c r="Z350" s="230"/>
      <c r="AA350" s="230"/>
    </row>
    <row r="351" spans="1:27">
      <c r="A351" s="276"/>
      <c r="B351" s="230"/>
      <c r="C351" s="230"/>
      <c r="D351" s="230"/>
      <c r="E351" s="230"/>
      <c r="F351" s="230"/>
      <c r="G351" s="230"/>
      <c r="H351" s="230"/>
      <c r="I351" s="230"/>
      <c r="J351" s="230"/>
      <c r="K351" s="230"/>
      <c r="L351" s="230"/>
      <c r="M351" s="230"/>
      <c r="N351" s="230"/>
      <c r="O351" s="230"/>
      <c r="P351" s="230"/>
      <c r="Q351" s="230"/>
      <c r="R351" s="230"/>
      <c r="S351" s="230"/>
      <c r="T351" s="230"/>
      <c r="U351" s="230"/>
      <c r="V351" s="230"/>
      <c r="W351" s="230"/>
      <c r="X351" s="230"/>
      <c r="Y351" s="230"/>
      <c r="Z351" s="230"/>
      <c r="AA351" s="230"/>
    </row>
    <row r="352" spans="1:27">
      <c r="A352" s="276"/>
      <c r="B352" s="230"/>
      <c r="C352" s="230"/>
      <c r="D352" s="230"/>
      <c r="E352" s="230"/>
      <c r="F352" s="230"/>
      <c r="G352" s="230"/>
      <c r="H352" s="230"/>
      <c r="I352" s="230"/>
      <c r="J352" s="230"/>
      <c r="K352" s="230"/>
      <c r="L352" s="230"/>
      <c r="M352" s="230"/>
      <c r="N352" s="230"/>
      <c r="O352" s="230"/>
      <c r="P352" s="230"/>
      <c r="Q352" s="230"/>
      <c r="R352" s="230"/>
      <c r="S352" s="230"/>
      <c r="T352" s="230"/>
      <c r="U352" s="230"/>
      <c r="V352" s="230"/>
      <c r="W352" s="230"/>
      <c r="X352" s="230"/>
      <c r="Y352" s="230"/>
      <c r="Z352" s="230"/>
      <c r="AA352" s="230"/>
    </row>
    <row r="353" spans="1:27">
      <c r="A353" s="276"/>
      <c r="B353" s="230"/>
      <c r="C353" s="230"/>
      <c r="D353" s="230"/>
      <c r="E353" s="230"/>
      <c r="F353" s="230"/>
      <c r="G353" s="230"/>
      <c r="H353" s="230"/>
      <c r="I353" s="230"/>
      <c r="J353" s="230"/>
      <c r="K353" s="230"/>
      <c r="L353" s="230"/>
      <c r="M353" s="230"/>
      <c r="N353" s="230"/>
      <c r="O353" s="230"/>
      <c r="P353" s="230"/>
      <c r="Q353" s="230"/>
      <c r="R353" s="230"/>
      <c r="S353" s="230"/>
      <c r="T353" s="230"/>
      <c r="U353" s="230"/>
      <c r="V353" s="230"/>
      <c r="W353" s="230"/>
      <c r="X353" s="230"/>
      <c r="Y353" s="230"/>
      <c r="Z353" s="230"/>
      <c r="AA353" s="230"/>
    </row>
    <row r="354" spans="1:27">
      <c r="A354" s="276"/>
      <c r="B354" s="230"/>
      <c r="C354" s="230"/>
      <c r="D354" s="230"/>
      <c r="E354" s="230"/>
      <c r="F354" s="230"/>
      <c r="G354" s="230"/>
      <c r="H354" s="230"/>
      <c r="I354" s="230"/>
      <c r="J354" s="230"/>
      <c r="K354" s="230"/>
      <c r="L354" s="230"/>
      <c r="M354" s="230"/>
      <c r="N354" s="230"/>
      <c r="O354" s="230"/>
      <c r="P354" s="230"/>
      <c r="Q354" s="230"/>
      <c r="R354" s="230"/>
      <c r="S354" s="230"/>
      <c r="T354" s="230"/>
      <c r="U354" s="230"/>
      <c r="V354" s="230"/>
      <c r="W354" s="230"/>
      <c r="X354" s="230"/>
      <c r="Y354" s="230"/>
      <c r="Z354" s="230"/>
      <c r="AA354" s="230"/>
    </row>
    <row r="355" spans="1:27">
      <c r="A355" s="276"/>
      <c r="B355" s="230"/>
      <c r="C355" s="230"/>
      <c r="D355" s="230"/>
      <c r="E355" s="230"/>
      <c r="F355" s="230"/>
      <c r="G355" s="230"/>
      <c r="H355" s="230"/>
      <c r="I355" s="230"/>
      <c r="J355" s="230"/>
      <c r="K355" s="230"/>
      <c r="L355" s="230"/>
      <c r="M355" s="230"/>
      <c r="N355" s="230"/>
      <c r="O355" s="230"/>
      <c r="P355" s="230"/>
      <c r="Q355" s="230"/>
      <c r="R355" s="230"/>
      <c r="S355" s="230"/>
      <c r="T355" s="230"/>
      <c r="U355" s="230"/>
      <c r="V355" s="230"/>
      <c r="W355" s="230"/>
      <c r="X355" s="230"/>
      <c r="Y355" s="230"/>
      <c r="Z355" s="230"/>
      <c r="AA355" s="230"/>
    </row>
    <row r="356" spans="1:27">
      <c r="A356" s="276"/>
      <c r="B356" s="230"/>
      <c r="C356" s="230"/>
      <c r="D356" s="230"/>
      <c r="E356" s="230"/>
      <c r="F356" s="230"/>
      <c r="G356" s="230"/>
      <c r="H356" s="230"/>
      <c r="I356" s="230"/>
      <c r="J356" s="230"/>
      <c r="K356" s="230"/>
      <c r="L356" s="230"/>
      <c r="M356" s="230"/>
      <c r="N356" s="230"/>
      <c r="O356" s="230"/>
      <c r="P356" s="230"/>
      <c r="Q356" s="230"/>
      <c r="R356" s="230"/>
      <c r="S356" s="230"/>
      <c r="T356" s="230"/>
      <c r="U356" s="230"/>
      <c r="V356" s="230"/>
      <c r="W356" s="230"/>
      <c r="X356" s="230"/>
      <c r="Y356" s="230"/>
      <c r="Z356" s="230"/>
      <c r="AA356" s="230"/>
    </row>
    <row r="357" spans="1:27">
      <c r="A357" s="276"/>
      <c r="B357" s="230"/>
      <c r="C357" s="230"/>
      <c r="D357" s="230"/>
      <c r="E357" s="230"/>
      <c r="F357" s="230"/>
      <c r="G357" s="230"/>
      <c r="H357" s="230"/>
      <c r="I357" s="230"/>
      <c r="J357" s="230"/>
      <c r="K357" s="230"/>
      <c r="L357" s="230"/>
      <c r="M357" s="230"/>
      <c r="N357" s="230"/>
      <c r="O357" s="230"/>
      <c r="P357" s="230"/>
      <c r="Q357" s="230"/>
      <c r="R357" s="230"/>
      <c r="S357" s="230"/>
      <c r="T357" s="230"/>
      <c r="U357" s="230"/>
      <c r="V357" s="230"/>
      <c r="W357" s="230"/>
      <c r="X357" s="230"/>
      <c r="Y357" s="230"/>
      <c r="Z357" s="230"/>
      <c r="AA357" s="230"/>
    </row>
    <row r="358" spans="1:27">
      <c r="A358" s="276"/>
      <c r="B358" s="230"/>
      <c r="C358" s="230"/>
      <c r="D358" s="230"/>
      <c r="E358" s="230"/>
      <c r="F358" s="230"/>
      <c r="G358" s="230"/>
      <c r="H358" s="230"/>
      <c r="I358" s="230"/>
      <c r="J358" s="230"/>
      <c r="K358" s="230"/>
      <c r="L358" s="230"/>
      <c r="M358" s="230"/>
      <c r="N358" s="230"/>
      <c r="O358" s="230"/>
      <c r="P358" s="230"/>
      <c r="Q358" s="230"/>
      <c r="R358" s="230"/>
      <c r="S358" s="230"/>
      <c r="T358" s="230"/>
      <c r="U358" s="230"/>
      <c r="V358" s="230"/>
      <c r="W358" s="230"/>
      <c r="X358" s="230"/>
      <c r="Y358" s="230"/>
      <c r="Z358" s="230"/>
      <c r="AA358" s="230"/>
    </row>
    <row r="359" spans="1:27">
      <c r="A359" s="276"/>
      <c r="B359" s="230"/>
      <c r="C359" s="230"/>
      <c r="D359" s="230"/>
      <c r="E359" s="230"/>
      <c r="F359" s="230"/>
      <c r="G359" s="230"/>
      <c r="H359" s="230"/>
      <c r="I359" s="230"/>
      <c r="J359" s="230"/>
      <c r="K359" s="230"/>
      <c r="L359" s="230"/>
      <c r="M359" s="230"/>
      <c r="N359" s="230"/>
      <c r="O359" s="230"/>
      <c r="P359" s="230"/>
      <c r="Q359" s="230"/>
      <c r="R359" s="230"/>
      <c r="S359" s="230"/>
      <c r="T359" s="230"/>
      <c r="U359" s="230"/>
      <c r="V359" s="230"/>
      <c r="W359" s="230"/>
      <c r="X359" s="230"/>
      <c r="Y359" s="230"/>
      <c r="Z359" s="230"/>
      <c r="AA359" s="230"/>
    </row>
    <row r="360" spans="1:27">
      <c r="A360" s="276"/>
      <c r="B360" s="230"/>
      <c r="C360" s="230"/>
      <c r="D360" s="230"/>
      <c r="E360" s="230"/>
      <c r="F360" s="230"/>
      <c r="G360" s="230"/>
      <c r="H360" s="230"/>
      <c r="I360" s="230"/>
      <c r="J360" s="230"/>
      <c r="K360" s="230"/>
      <c r="L360" s="230"/>
      <c r="M360" s="230"/>
      <c r="N360" s="230"/>
      <c r="O360" s="230"/>
      <c r="P360" s="230"/>
      <c r="Q360" s="230"/>
      <c r="R360" s="230"/>
      <c r="S360" s="230"/>
      <c r="T360" s="230"/>
      <c r="U360" s="230"/>
      <c r="V360" s="230"/>
      <c r="W360" s="230"/>
      <c r="X360" s="230"/>
      <c r="Y360" s="230"/>
      <c r="Z360" s="230"/>
      <c r="AA360" s="230"/>
    </row>
    <row r="361" spans="1:27">
      <c r="A361" s="276"/>
      <c r="B361" s="230"/>
      <c r="C361" s="230"/>
      <c r="D361" s="230"/>
      <c r="E361" s="230"/>
      <c r="F361" s="230"/>
      <c r="G361" s="230"/>
      <c r="H361" s="230"/>
      <c r="I361" s="230"/>
      <c r="J361" s="230"/>
      <c r="K361" s="230"/>
      <c r="L361" s="230"/>
      <c r="M361" s="230"/>
      <c r="N361" s="230"/>
      <c r="O361" s="230"/>
      <c r="P361" s="230"/>
      <c r="Q361" s="230"/>
      <c r="R361" s="230"/>
      <c r="S361" s="230"/>
      <c r="T361" s="230"/>
      <c r="U361" s="230"/>
      <c r="V361" s="230"/>
      <c r="W361" s="230"/>
      <c r="X361" s="230"/>
      <c r="Y361" s="230"/>
      <c r="Z361" s="230"/>
      <c r="AA361" s="230"/>
    </row>
    <row r="362" spans="1:27">
      <c r="A362" s="276"/>
      <c r="B362" s="230"/>
      <c r="C362" s="230"/>
      <c r="D362" s="230"/>
      <c r="E362" s="230"/>
      <c r="F362" s="230"/>
      <c r="G362" s="230"/>
      <c r="H362" s="230"/>
      <c r="I362" s="230"/>
      <c r="J362" s="230"/>
      <c r="K362" s="230"/>
      <c r="L362" s="230"/>
      <c r="M362" s="230"/>
      <c r="N362" s="230"/>
      <c r="O362" s="230"/>
      <c r="P362" s="230"/>
      <c r="Q362" s="230"/>
      <c r="R362" s="230"/>
      <c r="S362" s="230"/>
      <c r="T362" s="230"/>
      <c r="U362" s="230"/>
      <c r="V362" s="230"/>
      <c r="W362" s="230"/>
      <c r="X362" s="230"/>
      <c r="Y362" s="230"/>
      <c r="Z362" s="230"/>
      <c r="AA362" s="230"/>
    </row>
    <row r="363" spans="1:27">
      <c r="A363" s="276"/>
      <c r="B363" s="230"/>
      <c r="C363" s="230"/>
      <c r="D363" s="230"/>
      <c r="E363" s="230"/>
      <c r="F363" s="230"/>
      <c r="G363" s="230"/>
      <c r="H363" s="230"/>
      <c r="I363" s="230"/>
      <c r="J363" s="230"/>
      <c r="K363" s="230"/>
      <c r="L363" s="230"/>
      <c r="M363" s="230"/>
      <c r="N363" s="230"/>
      <c r="O363" s="230"/>
      <c r="P363" s="230"/>
      <c r="Q363" s="230"/>
      <c r="R363" s="230"/>
      <c r="S363" s="230"/>
      <c r="T363" s="230"/>
      <c r="U363" s="230"/>
      <c r="V363" s="230"/>
      <c r="W363" s="230"/>
      <c r="X363" s="230"/>
      <c r="Y363" s="230"/>
      <c r="Z363" s="230"/>
      <c r="AA363" s="230"/>
    </row>
    <row r="364" spans="1:27">
      <c r="A364" s="276"/>
      <c r="B364" s="230"/>
      <c r="C364" s="230"/>
      <c r="D364" s="230"/>
      <c r="E364" s="230"/>
      <c r="F364" s="230"/>
      <c r="G364" s="230"/>
      <c r="H364" s="230"/>
      <c r="I364" s="230"/>
      <c r="J364" s="230"/>
      <c r="K364" s="230"/>
      <c r="L364" s="230"/>
      <c r="M364" s="230"/>
      <c r="N364" s="230"/>
      <c r="O364" s="230"/>
      <c r="P364" s="230"/>
      <c r="Q364" s="230"/>
      <c r="R364" s="230"/>
      <c r="S364" s="230"/>
      <c r="T364" s="230"/>
      <c r="U364" s="230"/>
      <c r="V364" s="230"/>
      <c r="W364" s="230"/>
      <c r="X364" s="230"/>
      <c r="Y364" s="230"/>
      <c r="Z364" s="230"/>
      <c r="AA364" s="230"/>
    </row>
    <row r="365" spans="1:27">
      <c r="A365" s="276"/>
      <c r="B365" s="230"/>
      <c r="C365" s="230"/>
      <c r="D365" s="230"/>
      <c r="E365" s="230"/>
      <c r="F365" s="230"/>
      <c r="G365" s="230"/>
      <c r="H365" s="230"/>
      <c r="I365" s="230"/>
      <c r="J365" s="230"/>
      <c r="K365" s="230"/>
      <c r="L365" s="230"/>
      <c r="M365" s="230"/>
      <c r="N365" s="230"/>
      <c r="O365" s="230"/>
      <c r="P365" s="230"/>
      <c r="Q365" s="230"/>
      <c r="R365" s="230"/>
      <c r="S365" s="230"/>
      <c r="T365" s="230"/>
      <c r="U365" s="230"/>
      <c r="V365" s="230"/>
      <c r="W365" s="230"/>
      <c r="X365" s="230"/>
      <c r="Y365" s="230"/>
      <c r="Z365" s="230"/>
      <c r="AA365" s="230"/>
    </row>
  </sheetData>
  <autoFilter ref="A11:AB40"/>
  <mergeCells count="43">
    <mergeCell ref="AB6:AB10"/>
    <mergeCell ref="AA6:AA10"/>
    <mergeCell ref="B55:V55"/>
    <mergeCell ref="E6:E10"/>
    <mergeCell ref="H8:H10"/>
    <mergeCell ref="V8:V10"/>
    <mergeCell ref="U6:V7"/>
    <mergeCell ref="S7:T7"/>
    <mergeCell ref="F7:F10"/>
    <mergeCell ref="Q7:R7"/>
    <mergeCell ref="Q8:Q10"/>
    <mergeCell ref="R8:R10"/>
    <mergeCell ref="X9:X10"/>
    <mergeCell ref="Y9:Z9"/>
    <mergeCell ref="W6:Z7"/>
    <mergeCell ref="W8:W10"/>
    <mergeCell ref="X8:Z8"/>
    <mergeCell ref="U8:U10"/>
    <mergeCell ref="I8:I10"/>
    <mergeCell ref="J8:L8"/>
    <mergeCell ref="J9:J10"/>
    <mergeCell ref="K9:L9"/>
    <mergeCell ref="O7:P7"/>
    <mergeCell ref="O8:O10"/>
    <mergeCell ref="P8:P10"/>
    <mergeCell ref="M8:M10"/>
    <mergeCell ref="N8:N10"/>
    <mergeCell ref="A5:AA5"/>
    <mergeCell ref="A6:A10"/>
    <mergeCell ref="B6:B10"/>
    <mergeCell ref="A2:AA2"/>
    <mergeCell ref="A3:AA3"/>
    <mergeCell ref="A4:AA4"/>
    <mergeCell ref="C6:C10"/>
    <mergeCell ref="D6:D10"/>
    <mergeCell ref="G7:H7"/>
    <mergeCell ref="F6:H6"/>
    <mergeCell ref="G8:G10"/>
    <mergeCell ref="M6:T6"/>
    <mergeCell ref="M7:N7"/>
    <mergeCell ref="S8:S10"/>
    <mergeCell ref="T8:T10"/>
    <mergeCell ref="I6:L7"/>
  </mergeCells>
  <phoneticPr fontId="10" type="noConversion"/>
  <printOptions horizontalCentered="1"/>
  <pageMargins left="0.25" right="0.25" top="0.46" bottom="0.75" header="0.3" footer="0.3"/>
  <pageSetup paperSize="9" scale="37" fitToHeight="0" orientation="landscape" useFirstPageNumber="1" r:id="rId1"/>
  <headerFooter scaleWithDoc="0"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00"/>
  <sheetViews>
    <sheetView zoomScale="70" zoomScaleNormal="70" workbookViewId="0">
      <selection sqref="A1:BL1"/>
    </sheetView>
  </sheetViews>
  <sheetFormatPr defaultColWidth="9.140625" defaultRowHeight="18.75"/>
  <cols>
    <col min="1" max="1" width="5.140625" style="13" customWidth="1"/>
    <col min="2" max="2" width="29.28515625" style="10" customWidth="1"/>
    <col min="3" max="3" width="7.28515625" style="10" hidden="1" customWidth="1"/>
    <col min="4" max="6" width="7.28515625" style="11" hidden="1" customWidth="1"/>
    <col min="7" max="7" width="13.28515625" style="11" hidden="1" customWidth="1"/>
    <col min="8" max="14" width="12.85546875" style="12" customWidth="1"/>
    <col min="15" max="21" width="12" style="12" customWidth="1"/>
    <col min="22" max="28" width="10.5703125" style="12" customWidth="1"/>
    <col min="29" max="29" width="7.7109375" style="12" customWidth="1"/>
    <col min="30" max="31" width="7.28515625" style="12" customWidth="1"/>
    <col min="32" max="32" width="8.140625" style="12" customWidth="1"/>
    <col min="33" max="33" width="7.28515625" style="12" customWidth="1"/>
    <col min="34" max="34" width="8" style="12" customWidth="1"/>
    <col min="35" max="35" width="7.28515625" style="12" customWidth="1"/>
    <col min="36" max="36" width="7.7109375" style="12" customWidth="1"/>
    <col min="37" max="38" width="7.28515625" style="12" customWidth="1"/>
    <col min="39" max="39" width="7.7109375" style="12" customWidth="1"/>
    <col min="40" max="40" width="7.28515625" style="12" customWidth="1"/>
    <col min="41" max="41" width="8" style="12" customWidth="1"/>
    <col min="42" max="42" width="7.28515625" style="12" customWidth="1"/>
    <col min="43" max="43" width="8.140625" style="12" customWidth="1"/>
    <col min="44" max="45" width="7.28515625" style="12" customWidth="1"/>
    <col min="46" max="46" width="7.7109375" style="12" customWidth="1"/>
    <col min="47" max="47" width="7.28515625" style="12" customWidth="1"/>
    <col min="48" max="48" width="8.28515625" style="12" customWidth="1"/>
    <col min="49" max="49" width="7.28515625" style="12" customWidth="1"/>
    <col min="50" max="50" width="7.85546875" style="12" customWidth="1"/>
    <col min="51" max="52" width="7.28515625" style="12" customWidth="1"/>
    <col min="53" max="53" width="8.140625" style="12" customWidth="1"/>
    <col min="54" max="54" width="7.28515625" style="12" customWidth="1"/>
    <col min="55" max="56" width="9.85546875" style="12" customWidth="1"/>
    <col min="57" max="57" width="7.85546875" style="12" customWidth="1"/>
    <col min="58" max="59" width="7.28515625" style="12" customWidth="1"/>
    <col min="60" max="60" width="8.140625" style="12" customWidth="1"/>
    <col min="61" max="63" width="9.28515625" style="12" customWidth="1"/>
    <col min="64" max="64" width="7.28515625" style="12" customWidth="1"/>
    <col min="65" max="16384" width="9.140625" style="4"/>
  </cols>
  <sheetData>
    <row r="1" spans="1:64" s="1" customFormat="1" ht="34.5" customHeight="1">
      <c r="A1" s="490" t="s">
        <v>1363</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c r="AR1" s="490"/>
      <c r="AS1" s="490"/>
      <c r="AT1" s="490"/>
      <c r="AU1" s="490"/>
      <c r="AV1" s="490"/>
      <c r="AW1" s="490"/>
      <c r="AX1" s="490"/>
      <c r="AY1" s="490"/>
      <c r="AZ1" s="490"/>
      <c r="BA1" s="490"/>
      <c r="BB1" s="490"/>
      <c r="BC1" s="490"/>
      <c r="BD1" s="490"/>
      <c r="BE1" s="490"/>
      <c r="BF1" s="490"/>
      <c r="BG1" s="490"/>
      <c r="BH1" s="490"/>
      <c r="BI1" s="490"/>
      <c r="BJ1" s="490"/>
      <c r="BK1" s="490"/>
      <c r="BL1" s="490"/>
    </row>
    <row r="2" spans="1:64" ht="57" customHeight="1">
      <c r="A2" s="475" t="s">
        <v>111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475"/>
      <c r="BG2" s="475"/>
      <c r="BH2" s="475"/>
      <c r="BI2" s="475"/>
      <c r="BJ2" s="475"/>
      <c r="BK2" s="475"/>
      <c r="BL2" s="475"/>
    </row>
    <row r="3" spans="1:64" ht="23.25">
      <c r="A3" s="491" t="str">
        <f>'B.I THDP'!A3:K3</f>
        <v>(Kèm theo Công văn số 1080/UBND-KTTH ngày   08  tháng  8  năm 2024 của Ủy ban nhân dân tỉnh An Giang)</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c r="BJ3" s="491"/>
      <c r="BK3" s="491"/>
      <c r="BL3" s="491"/>
    </row>
    <row r="4" spans="1:64" s="5" customFormat="1" ht="30.2" customHeight="1">
      <c r="A4" s="476" t="s">
        <v>1</v>
      </c>
      <c r="B4" s="476"/>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D4" s="476"/>
      <c r="BE4" s="476"/>
      <c r="BF4" s="476"/>
      <c r="BG4" s="476"/>
      <c r="BH4" s="476"/>
      <c r="BI4" s="476"/>
      <c r="BJ4" s="476"/>
      <c r="BK4" s="476"/>
      <c r="BL4" s="476"/>
    </row>
    <row r="5" spans="1:64" s="7" customFormat="1" ht="33" customHeight="1">
      <c r="A5" s="471" t="s">
        <v>28</v>
      </c>
      <c r="B5" s="471" t="s">
        <v>10</v>
      </c>
      <c r="C5" s="471" t="s">
        <v>59</v>
      </c>
      <c r="D5" s="471" t="s">
        <v>60</v>
      </c>
      <c r="E5" s="471" t="s">
        <v>61</v>
      </c>
      <c r="F5" s="471" t="s">
        <v>62</v>
      </c>
      <c r="G5" s="478" t="s">
        <v>32</v>
      </c>
      <c r="H5" s="479"/>
      <c r="I5" s="479"/>
      <c r="J5" s="479"/>
      <c r="K5" s="479"/>
      <c r="L5" s="479"/>
      <c r="M5" s="479"/>
      <c r="N5" s="480"/>
      <c r="O5" s="481" t="s">
        <v>96</v>
      </c>
      <c r="P5" s="482"/>
      <c r="Q5" s="482"/>
      <c r="R5" s="482"/>
      <c r="S5" s="482"/>
      <c r="T5" s="482"/>
      <c r="U5" s="492"/>
      <c r="V5" s="474" t="s">
        <v>100</v>
      </c>
      <c r="W5" s="474"/>
      <c r="X5" s="474"/>
      <c r="Y5" s="474"/>
      <c r="Z5" s="474"/>
      <c r="AA5" s="474"/>
      <c r="AB5" s="474"/>
      <c r="AC5" s="474"/>
      <c r="AD5" s="474"/>
      <c r="AE5" s="474"/>
      <c r="AF5" s="474"/>
      <c r="AG5" s="474"/>
      <c r="AH5" s="474"/>
      <c r="AI5" s="474"/>
      <c r="AJ5" s="474"/>
      <c r="AK5" s="474"/>
      <c r="AL5" s="474"/>
      <c r="AM5" s="474"/>
      <c r="AN5" s="474"/>
      <c r="AO5" s="474"/>
      <c r="AP5" s="474"/>
      <c r="AQ5" s="474"/>
      <c r="AR5" s="474"/>
      <c r="AS5" s="474"/>
      <c r="AT5" s="474"/>
      <c r="AU5" s="474"/>
      <c r="AV5" s="474"/>
      <c r="AW5" s="474"/>
      <c r="AX5" s="481" t="s">
        <v>112</v>
      </c>
      <c r="AY5" s="482"/>
      <c r="AZ5" s="482"/>
      <c r="BA5" s="482"/>
      <c r="BB5" s="482"/>
      <c r="BC5" s="482"/>
      <c r="BD5" s="492"/>
      <c r="BE5" s="481" t="s">
        <v>113</v>
      </c>
      <c r="BF5" s="482"/>
      <c r="BG5" s="482"/>
      <c r="BH5" s="482"/>
      <c r="BI5" s="482"/>
      <c r="BJ5" s="482"/>
      <c r="BK5" s="492"/>
      <c r="BL5" s="471" t="s">
        <v>33</v>
      </c>
    </row>
    <row r="6" spans="1:64" s="7" customFormat="1" ht="51.75" customHeight="1">
      <c r="A6" s="472"/>
      <c r="B6" s="472"/>
      <c r="C6" s="472"/>
      <c r="D6" s="472"/>
      <c r="E6" s="472"/>
      <c r="F6" s="472"/>
      <c r="G6" s="474" t="s">
        <v>34</v>
      </c>
      <c r="H6" s="474" t="s">
        <v>35</v>
      </c>
      <c r="I6" s="474"/>
      <c r="J6" s="474"/>
      <c r="K6" s="474"/>
      <c r="L6" s="474"/>
      <c r="M6" s="474"/>
      <c r="N6" s="474"/>
      <c r="O6" s="483"/>
      <c r="P6" s="484"/>
      <c r="Q6" s="484"/>
      <c r="R6" s="484"/>
      <c r="S6" s="484"/>
      <c r="T6" s="484"/>
      <c r="U6" s="493"/>
      <c r="V6" s="474" t="s">
        <v>21</v>
      </c>
      <c r="W6" s="474"/>
      <c r="X6" s="474"/>
      <c r="Y6" s="474"/>
      <c r="Z6" s="474"/>
      <c r="AA6" s="474"/>
      <c r="AB6" s="474"/>
      <c r="AC6" s="474" t="s">
        <v>157</v>
      </c>
      <c r="AD6" s="474"/>
      <c r="AE6" s="474"/>
      <c r="AF6" s="474"/>
      <c r="AG6" s="474"/>
      <c r="AH6" s="474"/>
      <c r="AI6" s="474"/>
      <c r="AJ6" s="474" t="s">
        <v>158</v>
      </c>
      <c r="AK6" s="474"/>
      <c r="AL6" s="474"/>
      <c r="AM6" s="474"/>
      <c r="AN6" s="474"/>
      <c r="AO6" s="474"/>
      <c r="AP6" s="474"/>
      <c r="AQ6" s="474" t="s">
        <v>159</v>
      </c>
      <c r="AR6" s="474"/>
      <c r="AS6" s="474"/>
      <c r="AT6" s="474"/>
      <c r="AU6" s="474"/>
      <c r="AV6" s="474"/>
      <c r="AW6" s="474"/>
      <c r="AX6" s="483"/>
      <c r="AY6" s="484"/>
      <c r="AZ6" s="484"/>
      <c r="BA6" s="484"/>
      <c r="BB6" s="484"/>
      <c r="BC6" s="484"/>
      <c r="BD6" s="493"/>
      <c r="BE6" s="483"/>
      <c r="BF6" s="484"/>
      <c r="BG6" s="484"/>
      <c r="BH6" s="484"/>
      <c r="BI6" s="484"/>
      <c r="BJ6" s="484"/>
      <c r="BK6" s="493"/>
      <c r="BL6" s="472"/>
    </row>
    <row r="7" spans="1:64" s="7" customFormat="1" ht="30.75" customHeight="1">
      <c r="A7" s="472"/>
      <c r="B7" s="472"/>
      <c r="C7" s="472"/>
      <c r="D7" s="472"/>
      <c r="E7" s="472"/>
      <c r="F7" s="472"/>
      <c r="G7" s="474"/>
      <c r="H7" s="474" t="s">
        <v>3</v>
      </c>
      <c r="I7" s="477" t="s">
        <v>7</v>
      </c>
      <c r="J7" s="477"/>
      <c r="K7" s="477"/>
      <c r="L7" s="477"/>
      <c r="M7" s="477"/>
      <c r="N7" s="477"/>
      <c r="O7" s="474" t="s">
        <v>3</v>
      </c>
      <c r="P7" s="487" t="s">
        <v>7</v>
      </c>
      <c r="Q7" s="488"/>
      <c r="R7" s="488"/>
      <c r="S7" s="488"/>
      <c r="T7" s="488"/>
      <c r="U7" s="489"/>
      <c r="V7" s="474" t="s">
        <v>3</v>
      </c>
      <c r="W7" s="487" t="s">
        <v>7</v>
      </c>
      <c r="X7" s="488"/>
      <c r="Y7" s="488"/>
      <c r="Z7" s="488"/>
      <c r="AA7" s="488"/>
      <c r="AB7" s="489"/>
      <c r="AC7" s="474" t="s">
        <v>3</v>
      </c>
      <c r="AD7" s="487" t="s">
        <v>7</v>
      </c>
      <c r="AE7" s="488"/>
      <c r="AF7" s="488"/>
      <c r="AG7" s="488"/>
      <c r="AH7" s="488"/>
      <c r="AI7" s="489"/>
      <c r="AJ7" s="474" t="s">
        <v>3</v>
      </c>
      <c r="AK7" s="487" t="s">
        <v>7</v>
      </c>
      <c r="AL7" s="488"/>
      <c r="AM7" s="488"/>
      <c r="AN7" s="488"/>
      <c r="AO7" s="488"/>
      <c r="AP7" s="489"/>
      <c r="AQ7" s="474" t="s">
        <v>3</v>
      </c>
      <c r="AR7" s="487" t="s">
        <v>7</v>
      </c>
      <c r="AS7" s="488"/>
      <c r="AT7" s="488"/>
      <c r="AU7" s="488"/>
      <c r="AV7" s="488"/>
      <c r="AW7" s="489"/>
      <c r="AX7" s="474" t="s">
        <v>3</v>
      </c>
      <c r="AY7" s="487" t="s">
        <v>7</v>
      </c>
      <c r="AZ7" s="488"/>
      <c r="BA7" s="488"/>
      <c r="BB7" s="488"/>
      <c r="BC7" s="488"/>
      <c r="BD7" s="489"/>
      <c r="BE7" s="474" t="s">
        <v>3</v>
      </c>
      <c r="BF7" s="487" t="s">
        <v>7</v>
      </c>
      <c r="BG7" s="488"/>
      <c r="BH7" s="488"/>
      <c r="BI7" s="488"/>
      <c r="BJ7" s="488"/>
      <c r="BK7" s="489"/>
      <c r="BL7" s="472"/>
    </row>
    <row r="8" spans="1:64" s="7" customFormat="1" ht="45" customHeight="1">
      <c r="A8" s="472"/>
      <c r="B8" s="472"/>
      <c r="C8" s="472"/>
      <c r="D8" s="472"/>
      <c r="E8" s="472"/>
      <c r="F8" s="472"/>
      <c r="G8" s="474"/>
      <c r="H8" s="474"/>
      <c r="I8" s="481" t="s">
        <v>95</v>
      </c>
      <c r="J8" s="482"/>
      <c r="K8" s="474" t="s">
        <v>97</v>
      </c>
      <c r="L8" s="474"/>
      <c r="M8" s="474"/>
      <c r="N8" s="474"/>
      <c r="O8" s="474"/>
      <c r="P8" s="478" t="s">
        <v>92</v>
      </c>
      <c r="Q8" s="479"/>
      <c r="R8" s="480"/>
      <c r="S8" s="474" t="s">
        <v>94</v>
      </c>
      <c r="T8" s="474"/>
      <c r="U8" s="474"/>
      <c r="V8" s="474"/>
      <c r="W8" s="478" t="s">
        <v>92</v>
      </c>
      <c r="X8" s="479"/>
      <c r="Y8" s="480"/>
      <c r="Z8" s="474" t="s">
        <v>94</v>
      </c>
      <c r="AA8" s="474"/>
      <c r="AB8" s="474"/>
      <c r="AC8" s="474"/>
      <c r="AD8" s="478" t="s">
        <v>92</v>
      </c>
      <c r="AE8" s="479"/>
      <c r="AF8" s="480"/>
      <c r="AG8" s="474" t="s">
        <v>94</v>
      </c>
      <c r="AH8" s="474"/>
      <c r="AI8" s="474"/>
      <c r="AJ8" s="474"/>
      <c r="AK8" s="478" t="s">
        <v>92</v>
      </c>
      <c r="AL8" s="479"/>
      <c r="AM8" s="480"/>
      <c r="AN8" s="474" t="s">
        <v>94</v>
      </c>
      <c r="AO8" s="474"/>
      <c r="AP8" s="474"/>
      <c r="AQ8" s="474"/>
      <c r="AR8" s="478" t="s">
        <v>92</v>
      </c>
      <c r="AS8" s="479"/>
      <c r="AT8" s="480"/>
      <c r="AU8" s="474" t="s">
        <v>94</v>
      </c>
      <c r="AV8" s="474"/>
      <c r="AW8" s="474"/>
      <c r="AX8" s="474"/>
      <c r="AY8" s="478" t="s">
        <v>92</v>
      </c>
      <c r="AZ8" s="479"/>
      <c r="BA8" s="480"/>
      <c r="BB8" s="474" t="s">
        <v>94</v>
      </c>
      <c r="BC8" s="474"/>
      <c r="BD8" s="474"/>
      <c r="BE8" s="474"/>
      <c r="BF8" s="478" t="s">
        <v>92</v>
      </c>
      <c r="BG8" s="479"/>
      <c r="BH8" s="480"/>
      <c r="BI8" s="474" t="s">
        <v>94</v>
      </c>
      <c r="BJ8" s="474"/>
      <c r="BK8" s="474"/>
      <c r="BL8" s="472"/>
    </row>
    <row r="9" spans="1:64" s="7" customFormat="1" ht="31.9" customHeight="1">
      <c r="A9" s="472"/>
      <c r="B9" s="472"/>
      <c r="C9" s="472"/>
      <c r="D9" s="472"/>
      <c r="E9" s="472"/>
      <c r="F9" s="472"/>
      <c r="G9" s="474"/>
      <c r="H9" s="474"/>
      <c r="I9" s="483"/>
      <c r="J9" s="484"/>
      <c r="K9" s="474"/>
      <c r="L9" s="474"/>
      <c r="M9" s="474"/>
      <c r="N9" s="474"/>
      <c r="O9" s="474"/>
      <c r="P9" s="474" t="s">
        <v>36</v>
      </c>
      <c r="Q9" s="478" t="s">
        <v>93</v>
      </c>
      <c r="R9" s="480"/>
      <c r="S9" s="474" t="s">
        <v>36</v>
      </c>
      <c r="T9" s="485" t="s">
        <v>8</v>
      </c>
      <c r="U9" s="486"/>
      <c r="V9" s="474"/>
      <c r="W9" s="474" t="s">
        <v>36</v>
      </c>
      <c r="X9" s="478" t="s">
        <v>93</v>
      </c>
      <c r="Y9" s="480"/>
      <c r="Z9" s="474" t="s">
        <v>36</v>
      </c>
      <c r="AA9" s="485" t="s">
        <v>8</v>
      </c>
      <c r="AB9" s="486"/>
      <c r="AC9" s="474"/>
      <c r="AD9" s="474" t="s">
        <v>36</v>
      </c>
      <c r="AE9" s="478" t="s">
        <v>93</v>
      </c>
      <c r="AF9" s="480"/>
      <c r="AG9" s="474" t="s">
        <v>36</v>
      </c>
      <c r="AH9" s="485" t="s">
        <v>8</v>
      </c>
      <c r="AI9" s="486"/>
      <c r="AJ9" s="474"/>
      <c r="AK9" s="474" t="s">
        <v>36</v>
      </c>
      <c r="AL9" s="478" t="s">
        <v>93</v>
      </c>
      <c r="AM9" s="480"/>
      <c r="AN9" s="474" t="s">
        <v>36</v>
      </c>
      <c r="AO9" s="485" t="s">
        <v>8</v>
      </c>
      <c r="AP9" s="486"/>
      <c r="AQ9" s="474"/>
      <c r="AR9" s="474" t="s">
        <v>36</v>
      </c>
      <c r="AS9" s="478" t="s">
        <v>93</v>
      </c>
      <c r="AT9" s="480"/>
      <c r="AU9" s="474" t="s">
        <v>36</v>
      </c>
      <c r="AV9" s="485" t="s">
        <v>8</v>
      </c>
      <c r="AW9" s="486"/>
      <c r="AX9" s="474"/>
      <c r="AY9" s="474" t="s">
        <v>36</v>
      </c>
      <c r="AZ9" s="478" t="s">
        <v>93</v>
      </c>
      <c r="BA9" s="480"/>
      <c r="BB9" s="474" t="s">
        <v>36</v>
      </c>
      <c r="BC9" s="485" t="s">
        <v>8</v>
      </c>
      <c r="BD9" s="486"/>
      <c r="BE9" s="474"/>
      <c r="BF9" s="474" t="s">
        <v>36</v>
      </c>
      <c r="BG9" s="478" t="s">
        <v>93</v>
      </c>
      <c r="BH9" s="480"/>
      <c r="BI9" s="474" t="s">
        <v>36</v>
      </c>
      <c r="BJ9" s="485" t="s">
        <v>8</v>
      </c>
      <c r="BK9" s="486"/>
      <c r="BL9" s="472"/>
    </row>
    <row r="10" spans="1:64" s="7" customFormat="1" ht="33" customHeight="1">
      <c r="A10" s="472"/>
      <c r="B10" s="472"/>
      <c r="C10" s="472"/>
      <c r="D10" s="472"/>
      <c r="E10" s="472"/>
      <c r="F10" s="472"/>
      <c r="G10" s="474"/>
      <c r="H10" s="474"/>
      <c r="I10" s="474" t="s">
        <v>36</v>
      </c>
      <c r="J10" s="474" t="s">
        <v>67</v>
      </c>
      <c r="K10" s="474" t="s">
        <v>63</v>
      </c>
      <c r="L10" s="474" t="s">
        <v>9</v>
      </c>
      <c r="M10" s="474"/>
      <c r="N10" s="474"/>
      <c r="O10" s="474"/>
      <c r="P10" s="474"/>
      <c r="Q10" s="471" t="s">
        <v>36</v>
      </c>
      <c r="R10" s="471" t="s">
        <v>26</v>
      </c>
      <c r="S10" s="474"/>
      <c r="T10" s="474" t="s">
        <v>64</v>
      </c>
      <c r="U10" s="474" t="s">
        <v>65</v>
      </c>
      <c r="V10" s="474"/>
      <c r="W10" s="474"/>
      <c r="X10" s="471" t="s">
        <v>36</v>
      </c>
      <c r="Y10" s="471" t="s">
        <v>26</v>
      </c>
      <c r="Z10" s="474"/>
      <c r="AA10" s="474" t="s">
        <v>64</v>
      </c>
      <c r="AB10" s="474" t="s">
        <v>65</v>
      </c>
      <c r="AC10" s="474"/>
      <c r="AD10" s="474"/>
      <c r="AE10" s="471" t="s">
        <v>36</v>
      </c>
      <c r="AF10" s="471" t="s">
        <v>26</v>
      </c>
      <c r="AG10" s="474"/>
      <c r="AH10" s="474" t="s">
        <v>64</v>
      </c>
      <c r="AI10" s="474" t="s">
        <v>65</v>
      </c>
      <c r="AJ10" s="474"/>
      <c r="AK10" s="474"/>
      <c r="AL10" s="471" t="s">
        <v>36</v>
      </c>
      <c r="AM10" s="471" t="s">
        <v>26</v>
      </c>
      <c r="AN10" s="474"/>
      <c r="AO10" s="474" t="s">
        <v>64</v>
      </c>
      <c r="AP10" s="474" t="s">
        <v>65</v>
      </c>
      <c r="AQ10" s="474"/>
      <c r="AR10" s="474"/>
      <c r="AS10" s="471" t="s">
        <v>36</v>
      </c>
      <c r="AT10" s="471" t="s">
        <v>26</v>
      </c>
      <c r="AU10" s="474"/>
      <c r="AV10" s="474" t="s">
        <v>64</v>
      </c>
      <c r="AW10" s="474" t="s">
        <v>65</v>
      </c>
      <c r="AX10" s="474"/>
      <c r="AY10" s="474"/>
      <c r="AZ10" s="471" t="s">
        <v>36</v>
      </c>
      <c r="BA10" s="471" t="s">
        <v>26</v>
      </c>
      <c r="BB10" s="474"/>
      <c r="BC10" s="474" t="s">
        <v>64</v>
      </c>
      <c r="BD10" s="474" t="s">
        <v>65</v>
      </c>
      <c r="BE10" s="474"/>
      <c r="BF10" s="474"/>
      <c r="BG10" s="471" t="s">
        <v>36</v>
      </c>
      <c r="BH10" s="471" t="s">
        <v>26</v>
      </c>
      <c r="BI10" s="474"/>
      <c r="BJ10" s="474" t="s">
        <v>64</v>
      </c>
      <c r="BK10" s="474" t="s">
        <v>65</v>
      </c>
      <c r="BL10" s="472"/>
    </row>
    <row r="11" spans="1:64" s="7" customFormat="1" ht="33" customHeight="1">
      <c r="A11" s="472"/>
      <c r="B11" s="472"/>
      <c r="C11" s="472"/>
      <c r="D11" s="472"/>
      <c r="E11" s="472"/>
      <c r="F11" s="472"/>
      <c r="G11" s="474"/>
      <c r="H11" s="474"/>
      <c r="I11" s="474"/>
      <c r="J11" s="474"/>
      <c r="K11" s="474"/>
      <c r="L11" s="474" t="s">
        <v>36</v>
      </c>
      <c r="M11" s="474" t="s">
        <v>8</v>
      </c>
      <c r="N11" s="474"/>
      <c r="O11" s="474"/>
      <c r="P11" s="474"/>
      <c r="Q11" s="472"/>
      <c r="R11" s="472"/>
      <c r="S11" s="474"/>
      <c r="T11" s="474"/>
      <c r="U11" s="474"/>
      <c r="V11" s="474"/>
      <c r="W11" s="474"/>
      <c r="X11" s="472"/>
      <c r="Y11" s="472"/>
      <c r="Z11" s="474"/>
      <c r="AA11" s="474"/>
      <c r="AB11" s="474"/>
      <c r="AC11" s="474"/>
      <c r="AD11" s="474"/>
      <c r="AE11" s="472"/>
      <c r="AF11" s="472"/>
      <c r="AG11" s="474"/>
      <c r="AH11" s="474"/>
      <c r="AI11" s="474"/>
      <c r="AJ11" s="474"/>
      <c r="AK11" s="474"/>
      <c r="AL11" s="472"/>
      <c r="AM11" s="472"/>
      <c r="AN11" s="474"/>
      <c r="AO11" s="474"/>
      <c r="AP11" s="474"/>
      <c r="AQ11" s="474"/>
      <c r="AR11" s="474"/>
      <c r="AS11" s="472"/>
      <c r="AT11" s="472"/>
      <c r="AU11" s="474"/>
      <c r="AV11" s="474"/>
      <c r="AW11" s="474"/>
      <c r="AX11" s="474"/>
      <c r="AY11" s="474"/>
      <c r="AZ11" s="472"/>
      <c r="BA11" s="472"/>
      <c r="BB11" s="474"/>
      <c r="BC11" s="474"/>
      <c r="BD11" s="474"/>
      <c r="BE11" s="474"/>
      <c r="BF11" s="474"/>
      <c r="BG11" s="472"/>
      <c r="BH11" s="472"/>
      <c r="BI11" s="474"/>
      <c r="BJ11" s="474"/>
      <c r="BK11" s="474"/>
      <c r="BL11" s="472"/>
    </row>
    <row r="12" spans="1:64" s="7" customFormat="1" ht="101.85" customHeight="1">
      <c r="A12" s="473"/>
      <c r="B12" s="473"/>
      <c r="C12" s="473"/>
      <c r="D12" s="473"/>
      <c r="E12" s="473"/>
      <c r="F12" s="473"/>
      <c r="G12" s="474"/>
      <c r="H12" s="474"/>
      <c r="I12" s="474"/>
      <c r="J12" s="474"/>
      <c r="K12" s="474"/>
      <c r="L12" s="474"/>
      <c r="M12" s="76" t="s">
        <v>64</v>
      </c>
      <c r="N12" s="76" t="s">
        <v>65</v>
      </c>
      <c r="O12" s="474"/>
      <c r="P12" s="474"/>
      <c r="Q12" s="473"/>
      <c r="R12" s="473"/>
      <c r="S12" s="474"/>
      <c r="T12" s="474"/>
      <c r="U12" s="474"/>
      <c r="V12" s="474"/>
      <c r="W12" s="474"/>
      <c r="X12" s="473"/>
      <c r="Y12" s="473"/>
      <c r="Z12" s="474"/>
      <c r="AA12" s="474"/>
      <c r="AB12" s="474"/>
      <c r="AC12" s="474"/>
      <c r="AD12" s="474"/>
      <c r="AE12" s="473"/>
      <c r="AF12" s="473"/>
      <c r="AG12" s="474"/>
      <c r="AH12" s="474"/>
      <c r="AI12" s="474"/>
      <c r="AJ12" s="474"/>
      <c r="AK12" s="474"/>
      <c r="AL12" s="473"/>
      <c r="AM12" s="473"/>
      <c r="AN12" s="474"/>
      <c r="AO12" s="474"/>
      <c r="AP12" s="474"/>
      <c r="AQ12" s="474"/>
      <c r="AR12" s="474"/>
      <c r="AS12" s="473"/>
      <c r="AT12" s="473"/>
      <c r="AU12" s="474"/>
      <c r="AV12" s="474"/>
      <c r="AW12" s="474"/>
      <c r="AX12" s="474"/>
      <c r="AY12" s="474"/>
      <c r="AZ12" s="473"/>
      <c r="BA12" s="473"/>
      <c r="BB12" s="474"/>
      <c r="BC12" s="474"/>
      <c r="BD12" s="474"/>
      <c r="BE12" s="474"/>
      <c r="BF12" s="474"/>
      <c r="BG12" s="473"/>
      <c r="BH12" s="473"/>
      <c r="BI12" s="474"/>
      <c r="BJ12" s="474"/>
      <c r="BK12" s="474"/>
      <c r="BL12" s="473"/>
    </row>
    <row r="13" spans="1:64" s="9" customFormat="1" ht="30.75" customHeight="1">
      <c r="A13" s="8">
        <v>1</v>
      </c>
      <c r="B13" s="8">
        <f>A13+1</f>
        <v>2</v>
      </c>
      <c r="C13" s="8">
        <v>3</v>
      </c>
      <c r="D13" s="8">
        <v>4</v>
      </c>
      <c r="E13" s="8">
        <v>5</v>
      </c>
      <c r="F13" s="8">
        <v>6</v>
      </c>
      <c r="G13" s="8">
        <v>7</v>
      </c>
      <c r="H13" s="8">
        <f>G13+1</f>
        <v>8</v>
      </c>
      <c r="I13" s="8">
        <v>9</v>
      </c>
      <c r="J13" s="8">
        <v>10</v>
      </c>
      <c r="K13" s="8">
        <f>J13+1</f>
        <v>11</v>
      </c>
      <c r="L13" s="8">
        <v>12</v>
      </c>
      <c r="M13" s="8">
        <v>13</v>
      </c>
      <c r="N13" s="8">
        <f>M13+1</f>
        <v>14</v>
      </c>
      <c r="O13" s="8">
        <v>15</v>
      </c>
      <c r="P13" s="8">
        <v>16</v>
      </c>
      <c r="Q13" s="8">
        <f>P13+1</f>
        <v>17</v>
      </c>
      <c r="R13" s="8">
        <v>18</v>
      </c>
      <c r="S13" s="8">
        <v>19</v>
      </c>
      <c r="T13" s="8">
        <v>20</v>
      </c>
      <c r="U13" s="8">
        <v>21</v>
      </c>
      <c r="V13" s="8">
        <v>22</v>
      </c>
      <c r="W13" s="8">
        <v>23</v>
      </c>
      <c r="X13" s="8">
        <v>24</v>
      </c>
      <c r="Y13" s="8">
        <v>25</v>
      </c>
      <c r="Z13" s="8">
        <f>Y13+1</f>
        <v>26</v>
      </c>
      <c r="AA13" s="8">
        <v>27</v>
      </c>
      <c r="AB13" s="8">
        <v>28</v>
      </c>
      <c r="AC13" s="8">
        <f>AB13+1</f>
        <v>29</v>
      </c>
      <c r="AD13" s="8">
        <v>30</v>
      </c>
      <c r="AE13" s="8">
        <v>31</v>
      </c>
      <c r="AF13" s="8">
        <f>AE13+1</f>
        <v>32</v>
      </c>
      <c r="AG13" s="8">
        <v>33</v>
      </c>
      <c r="AH13" s="8">
        <v>34</v>
      </c>
      <c r="AI13" s="8">
        <v>35</v>
      </c>
      <c r="AJ13" s="8">
        <f>AI13+1</f>
        <v>36</v>
      </c>
      <c r="AK13" s="8">
        <v>30</v>
      </c>
      <c r="AL13" s="8">
        <v>31</v>
      </c>
      <c r="AM13" s="8">
        <f>AL13+1</f>
        <v>32</v>
      </c>
      <c r="AN13" s="8">
        <v>33</v>
      </c>
      <c r="AO13" s="8">
        <v>34</v>
      </c>
      <c r="AP13" s="8">
        <v>35</v>
      </c>
      <c r="AQ13" s="8">
        <v>36</v>
      </c>
      <c r="AR13" s="8">
        <v>37</v>
      </c>
      <c r="AS13" s="8">
        <f>AR13+1</f>
        <v>38</v>
      </c>
      <c r="AT13" s="8">
        <v>39</v>
      </c>
      <c r="AU13" s="8">
        <v>40</v>
      </c>
      <c r="AV13" s="8">
        <f>AU13+1</f>
        <v>41</v>
      </c>
      <c r="AW13" s="8">
        <v>42</v>
      </c>
      <c r="AX13" s="8">
        <v>43</v>
      </c>
      <c r="AY13" s="8">
        <f>AX13+1</f>
        <v>44</v>
      </c>
      <c r="AZ13" s="8">
        <v>45</v>
      </c>
      <c r="BA13" s="8">
        <v>46</v>
      </c>
      <c r="BB13" s="8">
        <f>BA13+1</f>
        <v>47</v>
      </c>
      <c r="BC13" s="8">
        <v>48</v>
      </c>
      <c r="BD13" s="8">
        <v>49</v>
      </c>
      <c r="BE13" s="8">
        <v>50</v>
      </c>
      <c r="BF13" s="8">
        <v>51</v>
      </c>
      <c r="BG13" s="8">
        <v>52</v>
      </c>
      <c r="BH13" s="8">
        <f>BG13+1</f>
        <v>53</v>
      </c>
      <c r="BI13" s="8">
        <v>54</v>
      </c>
      <c r="BJ13" s="8">
        <v>55</v>
      </c>
      <c r="BK13" s="8">
        <f>BJ13+1</f>
        <v>56</v>
      </c>
      <c r="BL13" s="8">
        <v>57</v>
      </c>
    </row>
    <row r="14" spans="1:64" s="9" customFormat="1">
      <c r="A14" s="41"/>
      <c r="B14" s="40" t="s">
        <v>4</v>
      </c>
      <c r="C14" s="40"/>
      <c r="D14" s="41"/>
      <c r="E14" s="41"/>
      <c r="F14" s="41"/>
      <c r="G14" s="41"/>
      <c r="H14" s="177">
        <f>H15</f>
        <v>479316</v>
      </c>
      <c r="I14" s="177">
        <f t="shared" ref="I14:BK14" si="0">I15</f>
        <v>42396</v>
      </c>
      <c r="J14" s="177">
        <f t="shared" si="0"/>
        <v>42396</v>
      </c>
      <c r="K14" s="177">
        <f t="shared" si="0"/>
        <v>0</v>
      </c>
      <c r="L14" s="177">
        <f t="shared" si="0"/>
        <v>436920</v>
      </c>
      <c r="M14" s="177">
        <f t="shared" si="0"/>
        <v>262152</v>
      </c>
      <c r="N14" s="177">
        <f t="shared" si="0"/>
        <v>174768</v>
      </c>
      <c r="O14" s="177">
        <f t="shared" si="0"/>
        <v>476243</v>
      </c>
      <c r="P14" s="177">
        <f t="shared" si="0"/>
        <v>39323</v>
      </c>
      <c r="Q14" s="177">
        <f t="shared" si="0"/>
        <v>0</v>
      </c>
      <c r="R14" s="177">
        <f t="shared" si="0"/>
        <v>0</v>
      </c>
      <c r="S14" s="177">
        <f t="shared" si="0"/>
        <v>436920</v>
      </c>
      <c r="T14" s="177">
        <f t="shared" si="0"/>
        <v>262152</v>
      </c>
      <c r="U14" s="177">
        <f t="shared" si="0"/>
        <v>174768</v>
      </c>
      <c r="V14" s="177">
        <f t="shared" si="0"/>
        <v>281068</v>
      </c>
      <c r="W14" s="177">
        <f t="shared" si="0"/>
        <v>33223</v>
      </c>
      <c r="X14" s="177">
        <f t="shared" si="0"/>
        <v>0</v>
      </c>
      <c r="Y14" s="177">
        <f t="shared" si="0"/>
        <v>0</v>
      </c>
      <c r="Z14" s="177">
        <f t="shared" si="0"/>
        <v>247845</v>
      </c>
      <c r="AA14" s="177">
        <f t="shared" si="0"/>
        <v>202150</v>
      </c>
      <c r="AB14" s="177">
        <f t="shared" si="0"/>
        <v>45695</v>
      </c>
      <c r="AC14" s="177">
        <f t="shared" si="0"/>
        <v>0</v>
      </c>
      <c r="AD14" s="177">
        <f t="shared" si="0"/>
        <v>0</v>
      </c>
      <c r="AE14" s="177">
        <f t="shared" si="0"/>
        <v>0</v>
      </c>
      <c r="AF14" s="177">
        <f t="shared" si="0"/>
        <v>0</v>
      </c>
      <c r="AG14" s="177">
        <f t="shared" si="0"/>
        <v>0</v>
      </c>
      <c r="AH14" s="177">
        <f t="shared" si="0"/>
        <v>0</v>
      </c>
      <c r="AI14" s="177">
        <f t="shared" si="0"/>
        <v>0</v>
      </c>
      <c r="AJ14" s="177">
        <f t="shared" si="0"/>
        <v>96005</v>
      </c>
      <c r="AK14" s="177">
        <f t="shared" si="0"/>
        <v>0</v>
      </c>
      <c r="AL14" s="177">
        <f t="shared" si="0"/>
        <v>0</v>
      </c>
      <c r="AM14" s="177">
        <f t="shared" si="0"/>
        <v>0</v>
      </c>
      <c r="AN14" s="177">
        <f t="shared" si="0"/>
        <v>96005</v>
      </c>
      <c r="AO14" s="177">
        <f t="shared" si="0"/>
        <v>57603</v>
      </c>
      <c r="AP14" s="177">
        <f t="shared" si="0"/>
        <v>38402</v>
      </c>
      <c r="AQ14" s="177">
        <f t="shared" si="0"/>
        <v>118667</v>
      </c>
      <c r="AR14" s="177">
        <f t="shared" si="0"/>
        <v>5000</v>
      </c>
      <c r="AS14" s="177">
        <f t="shared" si="0"/>
        <v>0</v>
      </c>
      <c r="AT14" s="177">
        <f t="shared" si="0"/>
        <v>0</v>
      </c>
      <c r="AU14" s="177">
        <f t="shared" si="0"/>
        <v>113667</v>
      </c>
      <c r="AV14" s="177">
        <f t="shared" si="0"/>
        <v>67972</v>
      </c>
      <c r="AW14" s="177">
        <f t="shared" si="0"/>
        <v>45695</v>
      </c>
      <c r="AX14" s="177">
        <f t="shared" si="0"/>
        <v>283332</v>
      </c>
      <c r="AY14" s="177">
        <f t="shared" si="0"/>
        <v>35487</v>
      </c>
      <c r="AZ14" s="177">
        <f t="shared" si="0"/>
        <v>0</v>
      </c>
      <c r="BA14" s="177">
        <f t="shared" si="0"/>
        <v>0</v>
      </c>
      <c r="BB14" s="177">
        <f t="shared" si="0"/>
        <v>247845</v>
      </c>
      <c r="BC14" s="177">
        <f t="shared" si="0"/>
        <v>202150</v>
      </c>
      <c r="BD14" s="177">
        <f t="shared" si="0"/>
        <v>45695</v>
      </c>
      <c r="BE14" s="177">
        <f t="shared" si="0"/>
        <v>357576</v>
      </c>
      <c r="BF14" s="177">
        <f t="shared" si="0"/>
        <v>34323</v>
      </c>
      <c r="BG14" s="177">
        <f t="shared" si="0"/>
        <v>0</v>
      </c>
      <c r="BH14" s="177">
        <f t="shared" si="0"/>
        <v>0</v>
      </c>
      <c r="BI14" s="177">
        <f t="shared" si="0"/>
        <v>323253</v>
      </c>
      <c r="BJ14" s="177">
        <f t="shared" si="0"/>
        <v>194180</v>
      </c>
      <c r="BK14" s="177">
        <f t="shared" si="0"/>
        <v>129073</v>
      </c>
      <c r="BL14" s="41"/>
    </row>
    <row r="15" spans="1:64" s="1" customFormat="1" ht="39">
      <c r="A15" s="54" t="s">
        <v>0</v>
      </c>
      <c r="B15" s="55" t="s">
        <v>109</v>
      </c>
      <c r="C15" s="55"/>
      <c r="D15" s="67"/>
      <c r="E15" s="67"/>
      <c r="F15" s="67"/>
      <c r="G15" s="67"/>
      <c r="H15" s="176">
        <f>H16</f>
        <v>479316</v>
      </c>
      <c r="I15" s="176">
        <f t="shared" ref="I15:BK15" si="1">I16</f>
        <v>42396</v>
      </c>
      <c r="J15" s="176">
        <f t="shared" si="1"/>
        <v>42396</v>
      </c>
      <c r="K15" s="176">
        <f t="shared" si="1"/>
        <v>0</v>
      </c>
      <c r="L15" s="176">
        <f t="shared" si="1"/>
        <v>436920</v>
      </c>
      <c r="M15" s="176">
        <f t="shared" si="1"/>
        <v>262152</v>
      </c>
      <c r="N15" s="176">
        <f t="shared" si="1"/>
        <v>174768</v>
      </c>
      <c r="O15" s="176">
        <f t="shared" si="1"/>
        <v>476243</v>
      </c>
      <c r="P15" s="176">
        <f t="shared" si="1"/>
        <v>39323</v>
      </c>
      <c r="Q15" s="176">
        <f t="shared" si="1"/>
        <v>0</v>
      </c>
      <c r="R15" s="176">
        <f t="shared" si="1"/>
        <v>0</v>
      </c>
      <c r="S15" s="176">
        <f t="shared" si="1"/>
        <v>436920</v>
      </c>
      <c r="T15" s="176">
        <f t="shared" si="1"/>
        <v>262152</v>
      </c>
      <c r="U15" s="176">
        <f t="shared" si="1"/>
        <v>174768</v>
      </c>
      <c r="V15" s="176">
        <f t="shared" si="1"/>
        <v>281068</v>
      </c>
      <c r="W15" s="176">
        <f t="shared" si="1"/>
        <v>33223</v>
      </c>
      <c r="X15" s="176">
        <f t="shared" si="1"/>
        <v>0</v>
      </c>
      <c r="Y15" s="176">
        <f t="shared" si="1"/>
        <v>0</v>
      </c>
      <c r="Z15" s="176">
        <f t="shared" si="1"/>
        <v>247845</v>
      </c>
      <c r="AA15" s="176">
        <f t="shared" si="1"/>
        <v>202150</v>
      </c>
      <c r="AB15" s="176">
        <f t="shared" si="1"/>
        <v>45695</v>
      </c>
      <c r="AC15" s="176">
        <f t="shared" si="1"/>
        <v>0</v>
      </c>
      <c r="AD15" s="176">
        <f t="shared" si="1"/>
        <v>0</v>
      </c>
      <c r="AE15" s="176">
        <f t="shared" si="1"/>
        <v>0</v>
      </c>
      <c r="AF15" s="176">
        <f t="shared" si="1"/>
        <v>0</v>
      </c>
      <c r="AG15" s="176">
        <f t="shared" si="1"/>
        <v>0</v>
      </c>
      <c r="AH15" s="176">
        <f t="shared" si="1"/>
        <v>0</v>
      </c>
      <c r="AI15" s="176">
        <f t="shared" si="1"/>
        <v>0</v>
      </c>
      <c r="AJ15" s="176">
        <f t="shared" si="1"/>
        <v>96005</v>
      </c>
      <c r="AK15" s="176">
        <f t="shared" si="1"/>
        <v>0</v>
      </c>
      <c r="AL15" s="176">
        <f t="shared" si="1"/>
        <v>0</v>
      </c>
      <c r="AM15" s="176">
        <f t="shared" si="1"/>
        <v>0</v>
      </c>
      <c r="AN15" s="176">
        <f t="shared" si="1"/>
        <v>96005</v>
      </c>
      <c r="AO15" s="176">
        <f t="shared" si="1"/>
        <v>57603</v>
      </c>
      <c r="AP15" s="176">
        <f t="shared" si="1"/>
        <v>38402</v>
      </c>
      <c r="AQ15" s="176">
        <f t="shared" si="1"/>
        <v>118667</v>
      </c>
      <c r="AR15" s="176">
        <f t="shared" si="1"/>
        <v>5000</v>
      </c>
      <c r="AS15" s="176">
        <f t="shared" si="1"/>
        <v>0</v>
      </c>
      <c r="AT15" s="176">
        <f t="shared" si="1"/>
        <v>0</v>
      </c>
      <c r="AU15" s="176">
        <f t="shared" si="1"/>
        <v>113667</v>
      </c>
      <c r="AV15" s="176">
        <f t="shared" si="1"/>
        <v>67972</v>
      </c>
      <c r="AW15" s="176">
        <f t="shared" si="1"/>
        <v>45695</v>
      </c>
      <c r="AX15" s="176">
        <f t="shared" si="1"/>
        <v>283332</v>
      </c>
      <c r="AY15" s="176">
        <f t="shared" si="1"/>
        <v>35487</v>
      </c>
      <c r="AZ15" s="176">
        <f t="shared" si="1"/>
        <v>0</v>
      </c>
      <c r="BA15" s="176">
        <f t="shared" si="1"/>
        <v>0</v>
      </c>
      <c r="BB15" s="176">
        <f t="shared" si="1"/>
        <v>247845</v>
      </c>
      <c r="BC15" s="176">
        <f t="shared" si="1"/>
        <v>202150</v>
      </c>
      <c r="BD15" s="176">
        <f t="shared" si="1"/>
        <v>45695</v>
      </c>
      <c r="BE15" s="176">
        <f t="shared" si="1"/>
        <v>357576</v>
      </c>
      <c r="BF15" s="176">
        <f t="shared" si="1"/>
        <v>34323</v>
      </c>
      <c r="BG15" s="176">
        <f t="shared" si="1"/>
        <v>0</v>
      </c>
      <c r="BH15" s="176">
        <f t="shared" si="1"/>
        <v>0</v>
      </c>
      <c r="BI15" s="176">
        <f t="shared" si="1"/>
        <v>323253</v>
      </c>
      <c r="BJ15" s="176">
        <f t="shared" si="1"/>
        <v>194180</v>
      </c>
      <c r="BK15" s="176">
        <f t="shared" si="1"/>
        <v>129073</v>
      </c>
      <c r="BL15" s="68"/>
    </row>
    <row r="16" spans="1:64" s="3" customFormat="1" ht="19.5">
      <c r="A16" s="54" t="s">
        <v>45</v>
      </c>
      <c r="B16" s="55" t="s">
        <v>18</v>
      </c>
      <c r="C16" s="55"/>
      <c r="D16" s="56"/>
      <c r="E16" s="56"/>
      <c r="F16" s="56"/>
      <c r="G16" s="56"/>
      <c r="H16" s="175">
        <f>H17</f>
        <v>479316</v>
      </c>
      <c r="I16" s="175">
        <f t="shared" ref="I16:J16" si="2">I17</f>
        <v>42396</v>
      </c>
      <c r="J16" s="175">
        <f t="shared" si="2"/>
        <v>42396</v>
      </c>
      <c r="K16" s="57"/>
      <c r="L16" s="175">
        <f t="shared" ref="L16" si="3">L17</f>
        <v>436920</v>
      </c>
      <c r="M16" s="175">
        <f t="shared" ref="M16" si="4">M17</f>
        <v>262152</v>
      </c>
      <c r="N16" s="175">
        <f t="shared" ref="N16" si="5">N17</f>
        <v>174768</v>
      </c>
      <c r="O16" s="175">
        <f t="shared" ref="O16" si="6">O17</f>
        <v>476243</v>
      </c>
      <c r="P16" s="175">
        <f t="shared" ref="P16" si="7">P17</f>
        <v>39323</v>
      </c>
      <c r="Q16" s="175">
        <f t="shared" ref="Q16" si="8">Q17</f>
        <v>0</v>
      </c>
      <c r="R16" s="175">
        <f t="shared" ref="R16" si="9">R17</f>
        <v>0</v>
      </c>
      <c r="S16" s="175">
        <f t="shared" ref="S16" si="10">S17</f>
        <v>436920</v>
      </c>
      <c r="T16" s="175">
        <f t="shared" ref="T16" si="11">T17</f>
        <v>262152</v>
      </c>
      <c r="U16" s="175">
        <f t="shared" ref="U16" si="12">U17</f>
        <v>174768</v>
      </c>
      <c r="V16" s="175">
        <f t="shared" ref="V16" si="13">V17</f>
        <v>281068</v>
      </c>
      <c r="W16" s="175">
        <f t="shared" ref="W16" si="14">W17</f>
        <v>33223</v>
      </c>
      <c r="X16" s="175">
        <f t="shared" ref="X16" si="15">X17</f>
        <v>0</v>
      </c>
      <c r="Y16" s="175">
        <f t="shared" ref="Y16" si="16">Y17</f>
        <v>0</v>
      </c>
      <c r="Z16" s="175">
        <f t="shared" ref="Z16" si="17">Z17</f>
        <v>247845</v>
      </c>
      <c r="AA16" s="175">
        <f t="shared" ref="AA16" si="18">AA17</f>
        <v>202150</v>
      </c>
      <c r="AB16" s="175">
        <f t="shared" ref="AB16" si="19">AB17</f>
        <v>45695</v>
      </c>
      <c r="AC16" s="175">
        <f t="shared" ref="AC16" si="20">AC17</f>
        <v>0</v>
      </c>
      <c r="AD16" s="175">
        <f t="shared" ref="AD16" si="21">AD17</f>
        <v>0</v>
      </c>
      <c r="AE16" s="175">
        <f t="shared" ref="AE16" si="22">AE17</f>
        <v>0</v>
      </c>
      <c r="AF16" s="175">
        <f t="shared" ref="AF16" si="23">AF17</f>
        <v>0</v>
      </c>
      <c r="AG16" s="175">
        <f t="shared" ref="AG16" si="24">AG17</f>
        <v>0</v>
      </c>
      <c r="AH16" s="175">
        <f t="shared" ref="AH16" si="25">AH17</f>
        <v>0</v>
      </c>
      <c r="AI16" s="175">
        <f t="shared" ref="AI16" si="26">AI17</f>
        <v>0</v>
      </c>
      <c r="AJ16" s="175">
        <f t="shared" ref="AJ16" si="27">AJ17</f>
        <v>96005</v>
      </c>
      <c r="AK16" s="175">
        <f t="shared" ref="AK16" si="28">AK17</f>
        <v>0</v>
      </c>
      <c r="AL16" s="175">
        <f t="shared" ref="AL16" si="29">AL17</f>
        <v>0</v>
      </c>
      <c r="AM16" s="175">
        <f t="shared" ref="AM16" si="30">AM17</f>
        <v>0</v>
      </c>
      <c r="AN16" s="175">
        <f t="shared" ref="AN16" si="31">AN17</f>
        <v>96005</v>
      </c>
      <c r="AO16" s="175">
        <f t="shared" ref="AO16" si="32">AO17</f>
        <v>57603</v>
      </c>
      <c r="AP16" s="175">
        <f t="shared" ref="AP16" si="33">AP17</f>
        <v>38402</v>
      </c>
      <c r="AQ16" s="175">
        <f t="shared" ref="AQ16" si="34">AQ17</f>
        <v>118667</v>
      </c>
      <c r="AR16" s="175">
        <f t="shared" ref="AR16" si="35">AR17</f>
        <v>5000</v>
      </c>
      <c r="AS16" s="175">
        <f t="shared" ref="AS16" si="36">AS17</f>
        <v>0</v>
      </c>
      <c r="AT16" s="175">
        <f t="shared" ref="AT16" si="37">AT17</f>
        <v>0</v>
      </c>
      <c r="AU16" s="175">
        <f t="shared" ref="AU16" si="38">AU17</f>
        <v>113667</v>
      </c>
      <c r="AV16" s="175">
        <f t="shared" ref="AV16" si="39">AV17</f>
        <v>67972</v>
      </c>
      <c r="AW16" s="175">
        <f t="shared" ref="AW16" si="40">AW17</f>
        <v>45695</v>
      </c>
      <c r="AX16" s="175">
        <f t="shared" ref="AX16" si="41">AX17</f>
        <v>283332</v>
      </c>
      <c r="AY16" s="175">
        <f t="shared" ref="AY16" si="42">AY17</f>
        <v>35487</v>
      </c>
      <c r="AZ16" s="175">
        <f t="shared" ref="AZ16" si="43">AZ17</f>
        <v>0</v>
      </c>
      <c r="BA16" s="175">
        <f t="shared" ref="BA16" si="44">BA17</f>
        <v>0</v>
      </c>
      <c r="BB16" s="175">
        <f t="shared" ref="BB16" si="45">BB17</f>
        <v>247845</v>
      </c>
      <c r="BC16" s="175">
        <f t="shared" ref="BC16" si="46">BC17</f>
        <v>202150</v>
      </c>
      <c r="BD16" s="175">
        <f t="shared" ref="BD16" si="47">BD17</f>
        <v>45695</v>
      </c>
      <c r="BE16" s="175">
        <f t="shared" ref="BE16" si="48">BE17</f>
        <v>357576</v>
      </c>
      <c r="BF16" s="175">
        <f t="shared" ref="BF16" si="49">BF17</f>
        <v>34323</v>
      </c>
      <c r="BG16" s="175">
        <f t="shared" ref="BG16" si="50">BG17</f>
        <v>0</v>
      </c>
      <c r="BH16" s="175">
        <f t="shared" ref="BH16" si="51">BH17</f>
        <v>0</v>
      </c>
      <c r="BI16" s="175">
        <f t="shared" ref="BI16" si="52">BI17</f>
        <v>323253</v>
      </c>
      <c r="BJ16" s="175">
        <f t="shared" ref="BJ16" si="53">BJ17</f>
        <v>194180</v>
      </c>
      <c r="BK16" s="175">
        <f t="shared" ref="BK16" si="54">BK17</f>
        <v>129073</v>
      </c>
      <c r="BL16" s="57"/>
    </row>
    <row r="17" spans="1:64" ht="94.5">
      <c r="A17" s="58" t="s">
        <v>39</v>
      </c>
      <c r="B17" s="47" t="s">
        <v>494</v>
      </c>
      <c r="C17" s="47"/>
      <c r="D17" s="174" t="s">
        <v>1340</v>
      </c>
      <c r="E17" s="59"/>
      <c r="F17" s="59"/>
      <c r="G17" s="175" t="s">
        <v>1341</v>
      </c>
      <c r="H17" s="175">
        <v>479316</v>
      </c>
      <c r="I17" s="175">
        <v>42396</v>
      </c>
      <c r="J17" s="175">
        <v>42396</v>
      </c>
      <c r="K17" s="175" t="s">
        <v>1339</v>
      </c>
      <c r="L17" s="175">
        <v>436920</v>
      </c>
      <c r="M17" s="175">
        <v>262152</v>
      </c>
      <c r="N17" s="175">
        <v>174768</v>
      </c>
      <c r="O17" s="175">
        <v>476243</v>
      </c>
      <c r="P17" s="175">
        <v>39323</v>
      </c>
      <c r="Q17" s="175"/>
      <c r="R17" s="175"/>
      <c r="S17" s="175">
        <v>436920</v>
      </c>
      <c r="T17" s="175">
        <v>262152</v>
      </c>
      <c r="U17" s="175">
        <v>174768</v>
      </c>
      <c r="V17" s="175">
        <v>281068</v>
      </c>
      <c r="W17" s="175">
        <v>33223</v>
      </c>
      <c r="X17" s="175"/>
      <c r="Y17" s="175"/>
      <c r="Z17" s="175">
        <v>247845</v>
      </c>
      <c r="AA17" s="175">
        <v>202150</v>
      </c>
      <c r="AB17" s="175">
        <v>45695</v>
      </c>
      <c r="AC17" s="175"/>
      <c r="AD17" s="175"/>
      <c r="AE17" s="175"/>
      <c r="AF17" s="175"/>
      <c r="AG17" s="175"/>
      <c r="AH17" s="175"/>
      <c r="AI17" s="175"/>
      <c r="AJ17" s="175">
        <v>96005</v>
      </c>
      <c r="AK17" s="175"/>
      <c r="AL17" s="175"/>
      <c r="AM17" s="175"/>
      <c r="AN17" s="175">
        <v>96005</v>
      </c>
      <c r="AO17" s="175">
        <v>57603</v>
      </c>
      <c r="AP17" s="175">
        <v>38402</v>
      </c>
      <c r="AQ17" s="175">
        <v>118667</v>
      </c>
      <c r="AR17" s="175">
        <v>5000</v>
      </c>
      <c r="AS17" s="175"/>
      <c r="AT17" s="175"/>
      <c r="AU17" s="175">
        <v>113667</v>
      </c>
      <c r="AV17" s="175">
        <v>67972</v>
      </c>
      <c r="AW17" s="175">
        <v>45695</v>
      </c>
      <c r="AX17" s="175">
        <v>283332</v>
      </c>
      <c r="AY17" s="175">
        <v>35487</v>
      </c>
      <c r="AZ17" s="175"/>
      <c r="BA17" s="175"/>
      <c r="BB17" s="175">
        <v>247845</v>
      </c>
      <c r="BC17" s="175">
        <v>202150</v>
      </c>
      <c r="BD17" s="175">
        <v>45695</v>
      </c>
      <c r="BE17" s="175">
        <v>357576</v>
      </c>
      <c r="BF17" s="175">
        <v>34323</v>
      </c>
      <c r="BG17" s="175"/>
      <c r="BH17" s="175"/>
      <c r="BI17" s="175">
        <v>323253</v>
      </c>
      <c r="BJ17" s="175">
        <v>194180</v>
      </c>
      <c r="BK17" s="175">
        <v>129073</v>
      </c>
      <c r="BL17" s="60"/>
    </row>
    <row r="18" spans="1:64" s="16" customFormat="1">
      <c r="A18" s="69"/>
      <c r="B18" s="70"/>
      <c r="C18" s="70"/>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row>
    <row r="19" spans="1:64">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row>
    <row r="20" spans="1:64">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row>
    <row r="21" spans="1:64">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row>
    <row r="22" spans="1:64">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row>
    <row r="23" spans="1:64">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row>
    <row r="24" spans="1:64">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row>
    <row r="25" spans="1:64">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row>
    <row r="26" spans="1:64">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row>
    <row r="27" spans="1:6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row>
    <row r="28" spans="1:6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row>
    <row r="29" spans="1:6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row>
    <row r="30" spans="1:64">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row>
    <row r="31" spans="1:6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row>
    <row r="32" spans="1:64">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row>
    <row r="33" spans="1:64">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row>
    <row r="34" spans="1:64">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row>
    <row r="35" spans="1:6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row>
    <row r="36" spans="1:64">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row>
    <row r="37" spans="1:6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row>
    <row r="38" spans="1:6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row>
    <row r="39" spans="1:6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row>
    <row r="40" spans="1:6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row>
    <row r="41" spans="1:6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row>
    <row r="42" spans="1:6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row>
    <row r="43" spans="1:6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row>
    <row r="44" spans="1:6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row>
    <row r="45" spans="1:6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row>
    <row r="46" spans="1:6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row>
    <row r="47" spans="1:6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row>
    <row r="48" spans="1:6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row>
    <row r="49" spans="1:6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row>
    <row r="50" spans="1:6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row>
    <row r="51" spans="1:6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row>
    <row r="52" spans="1:6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row>
    <row r="53" spans="1:6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row>
    <row r="54" spans="1:6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row>
    <row r="55" spans="1:6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row>
    <row r="56" spans="1:6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row>
    <row r="57" spans="1:6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row>
    <row r="58" spans="1:6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row>
    <row r="59" spans="1:6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row>
    <row r="60" spans="1:6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row>
    <row r="61" spans="1:6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row>
    <row r="62" spans="1:6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row>
    <row r="63" spans="1:6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row>
    <row r="64" spans="1:6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row>
    <row r="65" spans="1:6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row>
    <row r="66" spans="1:6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row>
    <row r="67" spans="1:6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row>
    <row r="68" spans="1:6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row>
    <row r="69" spans="1:64">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row>
    <row r="70" spans="1:64">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row>
    <row r="71" spans="1:64">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row>
    <row r="72" spans="1:64">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row>
    <row r="73" spans="1:64">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row>
    <row r="74" spans="1:64">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row>
    <row r="75" spans="1:64">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row>
    <row r="76" spans="1:64">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row>
    <row r="77" spans="1:6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row>
    <row r="78" spans="1:6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row>
    <row r="79" spans="1:6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row>
    <row r="80" spans="1:6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row>
    <row r="81" spans="1:6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row>
    <row r="82" spans="1:6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row>
    <row r="83" spans="1:6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row>
    <row r="84" spans="1:6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row>
    <row r="85" spans="1:6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row>
    <row r="86" spans="1:6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row>
    <row r="87" spans="1:6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row>
    <row r="88" spans="1:6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row>
    <row r="89" spans="1:6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row>
    <row r="90" spans="1:6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row>
    <row r="91" spans="1:6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row>
    <row r="92" spans="1:6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row>
    <row r="93" spans="1:6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row>
    <row r="94" spans="1:6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row>
    <row r="95" spans="1:6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row>
    <row r="96" spans="1:6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row>
    <row r="97" spans="1:6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row>
    <row r="98" spans="1:6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row>
    <row r="99" spans="1:6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row>
    <row r="100" spans="1:6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row>
    <row r="101" spans="1:6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row>
    <row r="102" spans="1:6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row>
    <row r="103" spans="1:6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row>
    <row r="104" spans="1:6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row>
    <row r="105" spans="1:6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row>
    <row r="106" spans="1:6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row>
    <row r="107" spans="1:6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row>
    <row r="108" spans="1:6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row>
    <row r="109" spans="1:6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row>
    <row r="110" spans="1:6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row>
    <row r="111" spans="1:6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row>
    <row r="112" spans="1:6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row>
    <row r="113" spans="1:6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row>
    <row r="114" spans="1:6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row>
    <row r="115" spans="1:64">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row>
    <row r="116" spans="1:6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row>
    <row r="117" spans="1:6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row>
    <row r="118" spans="1:6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row>
    <row r="119" spans="1:6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row>
    <row r="120" spans="1:6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row>
    <row r="121" spans="1:6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row>
    <row r="122" spans="1:6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row>
    <row r="123" spans="1:6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row>
    <row r="124" spans="1:6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row>
    <row r="125" spans="1:6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row>
    <row r="126" spans="1:6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row>
    <row r="127" spans="1:6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row>
    <row r="128" spans="1:6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row>
    <row r="129" spans="1:6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row>
    <row r="130" spans="1:6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row>
    <row r="131" spans="1:6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row>
    <row r="132" spans="1:6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row>
    <row r="133" spans="1:6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row>
    <row r="134" spans="1:6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row>
    <row r="135" spans="1:6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row>
    <row r="136" spans="1:6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row>
    <row r="137" spans="1:6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row>
    <row r="138" spans="1:6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row>
    <row r="139" spans="1:6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row>
    <row r="140" spans="1:6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row>
    <row r="141" spans="1:6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row>
    <row r="142" spans="1:6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row>
    <row r="143" spans="1:6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row>
    <row r="144" spans="1:6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row>
    <row r="145" spans="1:6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row>
    <row r="146" spans="1:6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row>
    <row r="147" spans="1:6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row>
    <row r="148" spans="1:6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row>
    <row r="149" spans="1:6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row>
    <row r="150" spans="1:6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row>
    <row r="151" spans="1:6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row>
    <row r="152" spans="1:6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row>
    <row r="153" spans="1:6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row>
    <row r="154" spans="1:6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row>
    <row r="155" spans="1:6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row>
    <row r="156" spans="1:6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row>
    <row r="157" spans="1:6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row>
    <row r="158" spans="1:6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row>
    <row r="159" spans="1:6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row>
    <row r="160" spans="1:6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row>
    <row r="161" spans="1:6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row>
    <row r="162" spans="1:6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row>
    <row r="163" spans="1:6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row>
    <row r="164" spans="1:6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row>
    <row r="165" spans="1:6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row>
    <row r="166" spans="1:6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row>
    <row r="167" spans="1:6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row>
    <row r="168" spans="1:6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row>
    <row r="169" spans="1:6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row>
    <row r="170" spans="1:6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row>
    <row r="171" spans="1:6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row>
    <row r="172" spans="1:6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row>
    <row r="173" spans="1:6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row>
    <row r="174" spans="1:6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row>
    <row r="175" spans="1:6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row>
    <row r="176" spans="1:6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row>
    <row r="177" spans="1:6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row>
    <row r="178" spans="1:6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row>
    <row r="179" spans="1:6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row>
    <row r="180" spans="1:6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row>
    <row r="181" spans="1:6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row>
    <row r="182" spans="1:6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row>
    <row r="183" spans="1:6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row>
    <row r="184" spans="1:6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row>
    <row r="185" spans="1:6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row>
    <row r="186" spans="1:6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row>
    <row r="187" spans="1:6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row>
    <row r="188" spans="1:6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row>
    <row r="189" spans="1:6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row>
    <row r="190" spans="1:6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row>
    <row r="191" spans="1:6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row>
    <row r="192" spans="1:64">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row>
    <row r="193" spans="1:64">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row>
    <row r="194" spans="1:64">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row>
    <row r="195" spans="1:64">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row>
    <row r="196" spans="1:64">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row>
    <row r="197" spans="1:64">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row>
    <row r="198" spans="1:64">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row>
    <row r="199" spans="1:64">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row>
    <row r="200" spans="1:64">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row>
    <row r="201" spans="1:64">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row>
    <row r="202" spans="1:64">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row>
    <row r="203" spans="1:64">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row>
    <row r="204" spans="1:64">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row>
    <row r="205" spans="1:64">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row>
    <row r="206" spans="1:64">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row>
    <row r="207" spans="1:64">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row>
    <row r="208" spans="1:64">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row>
    <row r="209" spans="1:64">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row>
    <row r="210" spans="1:64">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row>
    <row r="211" spans="1:64">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row>
    <row r="212" spans="1:64">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row>
    <row r="213" spans="1:64">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row>
    <row r="214" spans="1:64">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row>
    <row r="215" spans="1:64">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row>
    <row r="216" spans="1:64">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row>
    <row r="217" spans="1:64">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row>
    <row r="218" spans="1:64">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row>
    <row r="219" spans="1:64">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row>
    <row r="220" spans="1:64">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row>
    <row r="221" spans="1:64">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row>
    <row r="222" spans="1:64">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row>
    <row r="223" spans="1:64">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row>
    <row r="224" spans="1:64">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row>
    <row r="225" spans="1:64">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row>
    <row r="226" spans="1:64">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row>
    <row r="227" spans="1:64">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row>
    <row r="228" spans="1:64">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row>
    <row r="229" spans="1:64">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row>
    <row r="230" spans="1:64">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row>
    <row r="231" spans="1:64">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row>
    <row r="232" spans="1:64">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row>
    <row r="233" spans="1:64">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row>
    <row r="234" spans="1:64">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row>
    <row r="235" spans="1:64">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row>
    <row r="236" spans="1:64">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row>
    <row r="237" spans="1:64">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row>
    <row r="238" spans="1:64">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row>
    <row r="239" spans="1:64">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row>
    <row r="240" spans="1:64">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row>
    <row r="241" spans="1:64">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row>
    <row r="242" spans="1:64">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row>
    <row r="243" spans="1:64">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row>
    <row r="244" spans="1:64">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row>
    <row r="245" spans="1:64">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row>
    <row r="246" spans="1:64">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row>
    <row r="247" spans="1:64">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row>
    <row r="248" spans="1:64">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row>
    <row r="249" spans="1:64">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row>
    <row r="250" spans="1:64">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row>
    <row r="251" spans="1:64">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row>
    <row r="252" spans="1:64">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row>
    <row r="253" spans="1:64">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row>
    <row r="254" spans="1:64">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row>
    <row r="255" spans="1:64">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row>
    <row r="256" spans="1:64">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row>
    <row r="257" spans="1:64">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row>
    <row r="258" spans="1:64">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row>
    <row r="259" spans="1:64">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row>
    <row r="260" spans="1:64">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row>
    <row r="261" spans="1:64">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row>
    <row r="262" spans="1:64">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row>
    <row r="263" spans="1:64">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row>
    <row r="264" spans="1:64">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row>
    <row r="265" spans="1:64">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row>
    <row r="266" spans="1:64">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row>
    <row r="267" spans="1:64">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row>
    <row r="268" spans="1:64">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row>
    <row r="269" spans="1:64">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row>
    <row r="270" spans="1:64">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row>
    <row r="271" spans="1:64">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row>
    <row r="272" spans="1:64">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row>
    <row r="273" spans="1:64">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row>
    <row r="274" spans="1:64">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row>
    <row r="275" spans="1:64">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row>
    <row r="276" spans="1:64">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row>
    <row r="277" spans="1:64">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row>
    <row r="278" spans="1:64">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row>
    <row r="279" spans="1:64">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row>
    <row r="280" spans="1:64">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row>
    <row r="281" spans="1:64">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row>
    <row r="282" spans="1:64">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row>
    <row r="283" spans="1:64">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row>
    <row r="284" spans="1:64">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row>
    <row r="285" spans="1:64">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row>
    <row r="286" spans="1:64">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row>
    <row r="287" spans="1:64">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row>
    <row r="288" spans="1:64">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row>
    <row r="289" spans="1:64">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row>
    <row r="290" spans="1:64">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row>
    <row r="291" spans="1:64">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row>
    <row r="292" spans="1:64">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row>
    <row r="293" spans="1:64">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row>
    <row r="294" spans="1:64">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row>
    <row r="295" spans="1:64">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row>
    <row r="296" spans="1:64">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row>
    <row r="297" spans="1:64">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row>
    <row r="298" spans="1:64">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row>
    <row r="299" spans="1:64">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row>
    <row r="300" spans="1:64">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row>
  </sheetData>
  <mergeCells count="116">
    <mergeCell ref="BE5:BK6"/>
    <mergeCell ref="AJ6:AP6"/>
    <mergeCell ref="AJ7:AJ12"/>
    <mergeCell ref="AK7:AP7"/>
    <mergeCell ref="AK8:AM8"/>
    <mergeCell ref="AN8:AP8"/>
    <mergeCell ref="AK9:AK12"/>
    <mergeCell ref="AL9:AM9"/>
    <mergeCell ref="AN9:AN12"/>
    <mergeCell ref="BF7:BK7"/>
    <mergeCell ref="BI8:BK8"/>
    <mergeCell ref="BG9:BH9"/>
    <mergeCell ref="BI9:BI12"/>
    <mergeCell ref="BJ9:BK9"/>
    <mergeCell ref="BG10:BG12"/>
    <mergeCell ref="BH10:BH12"/>
    <mergeCell ref="BJ10:BJ12"/>
    <mergeCell ref="BK10:BK12"/>
    <mergeCell ref="BF9:BF12"/>
    <mergeCell ref="AR8:AT8"/>
    <mergeCell ref="AC6:AI6"/>
    <mergeCell ref="AX5:BD6"/>
    <mergeCell ref="V6:AB6"/>
    <mergeCell ref="W7:AB7"/>
    <mergeCell ref="AQ6:AW6"/>
    <mergeCell ref="AS10:AS12"/>
    <mergeCell ref="AT10:AT12"/>
    <mergeCell ref="V5:AW5"/>
    <mergeCell ref="AR7:AW7"/>
    <mergeCell ref="AY7:BD7"/>
    <mergeCell ref="BB8:BD8"/>
    <mergeCell ref="BB9:BB12"/>
    <mergeCell ref="BC9:BD9"/>
    <mergeCell ref="BC10:BC12"/>
    <mergeCell ref="AF10:AF12"/>
    <mergeCell ref="AS9:AT9"/>
    <mergeCell ref="AE9:AF9"/>
    <mergeCell ref="AV9:AW9"/>
    <mergeCell ref="AV10:AV12"/>
    <mergeCell ref="AY9:AY12"/>
    <mergeCell ref="W8:Y8"/>
    <mergeCell ref="AR9:AR12"/>
    <mergeCell ref="AA10:AA12"/>
    <mergeCell ref="AB10:AB12"/>
    <mergeCell ref="A1:BL1"/>
    <mergeCell ref="A3:BL3"/>
    <mergeCell ref="AX7:AX12"/>
    <mergeCell ref="BE7:BE12"/>
    <mergeCell ref="AY8:BA8"/>
    <mergeCell ref="M11:N11"/>
    <mergeCell ref="F5:F12"/>
    <mergeCell ref="AH9:AI9"/>
    <mergeCell ref="L10:N10"/>
    <mergeCell ref="BF8:BH8"/>
    <mergeCell ref="AZ9:BA9"/>
    <mergeCell ref="AZ10:AZ12"/>
    <mergeCell ref="BA10:BA12"/>
    <mergeCell ref="AM10:AM12"/>
    <mergeCell ref="AO10:AO12"/>
    <mergeCell ref="AU8:AW8"/>
    <mergeCell ref="AU9:AU12"/>
    <mergeCell ref="BD10:BD12"/>
    <mergeCell ref="O5:U6"/>
    <mergeCell ref="X9:Y9"/>
    <mergeCell ref="X10:X12"/>
    <mergeCell ref="I10:I12"/>
    <mergeCell ref="K8:N9"/>
    <mergeCell ref="S8:U8"/>
    <mergeCell ref="AE10:AE12"/>
    <mergeCell ref="AO9:AP9"/>
    <mergeCell ref="AG9:AG12"/>
    <mergeCell ref="Y10:Y12"/>
    <mergeCell ref="AD8:AF8"/>
    <mergeCell ref="AD9:AD12"/>
    <mergeCell ref="W9:W12"/>
    <mergeCell ref="P7:U7"/>
    <mergeCell ref="L11:L12"/>
    <mergeCell ref="O7:O12"/>
    <mergeCell ref="AP10:AP12"/>
    <mergeCell ref="AH10:AH12"/>
    <mergeCell ref="AI10:AI12"/>
    <mergeCell ref="AL10:AL12"/>
    <mergeCell ref="P8:R8"/>
    <mergeCell ref="AG8:AI8"/>
    <mergeCell ref="S9:S12"/>
    <mergeCell ref="T9:U9"/>
    <mergeCell ref="T10:T12"/>
    <mergeCell ref="U10:U12"/>
    <mergeCell ref="Z8:AB8"/>
    <mergeCell ref="Z9:Z12"/>
    <mergeCell ref="AA9:AB9"/>
    <mergeCell ref="AD7:AI7"/>
    <mergeCell ref="C5:C12"/>
    <mergeCell ref="D5:D12"/>
    <mergeCell ref="E5:E12"/>
    <mergeCell ref="BL5:BL12"/>
    <mergeCell ref="G6:G12"/>
    <mergeCell ref="A2:BL2"/>
    <mergeCell ref="A4:BL4"/>
    <mergeCell ref="A5:A12"/>
    <mergeCell ref="B5:B12"/>
    <mergeCell ref="AC7:AC12"/>
    <mergeCell ref="H6:N6"/>
    <mergeCell ref="H7:H12"/>
    <mergeCell ref="I7:N7"/>
    <mergeCell ref="J10:J12"/>
    <mergeCell ref="V7:V12"/>
    <mergeCell ref="G5:N5"/>
    <mergeCell ref="Q9:R9"/>
    <mergeCell ref="R10:R12"/>
    <mergeCell ref="P9:P12"/>
    <mergeCell ref="Q10:Q12"/>
    <mergeCell ref="AW10:AW12"/>
    <mergeCell ref="AQ7:AQ12"/>
    <mergeCell ref="K10:K12"/>
    <mergeCell ref="I8:J9"/>
  </mergeCells>
  <printOptions horizontalCentered="1"/>
  <pageMargins left="0" right="0" top="0.7" bottom="0.7" header="0.3" footer="0.3"/>
  <pageSetup paperSize="9"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F589"/>
  <sheetViews>
    <sheetView showZeros="0" topLeftCell="A2" zoomScale="60" zoomScaleNormal="60" zoomScalePageLayoutView="55" workbookViewId="0">
      <selection activeCell="E18" sqref="E18"/>
    </sheetView>
  </sheetViews>
  <sheetFormatPr defaultColWidth="9.140625" defaultRowHeight="18.75"/>
  <cols>
    <col min="1" max="1" width="5.140625" style="421" customWidth="1"/>
    <col min="2" max="2" width="43.7109375" style="422" customWidth="1"/>
    <col min="3" max="3" width="10" style="423" customWidth="1"/>
    <col min="4" max="4" width="15" style="423" customWidth="1"/>
    <col min="5" max="5" width="10" style="423" customWidth="1"/>
    <col min="6" max="6" width="17.140625" style="423" customWidth="1"/>
    <col min="7" max="7" width="14.28515625" style="281" customWidth="1"/>
    <col min="8" max="8" width="15" style="281" customWidth="1"/>
    <col min="9" max="9" width="15.85546875" style="281" customWidth="1"/>
    <col min="10" max="10" width="13.28515625" style="281" customWidth="1"/>
    <col min="11" max="12" width="10" style="281" customWidth="1"/>
    <col min="13" max="14" width="12.85546875" style="281" customWidth="1"/>
    <col min="15" max="15" width="13.7109375" style="281" customWidth="1"/>
    <col min="16" max="16" width="13" style="281" customWidth="1"/>
    <col min="17" max="18" width="14.28515625" style="281" customWidth="1"/>
    <col min="19" max="19" width="14.85546875" style="281" customWidth="1"/>
    <col min="20" max="20" width="12.28515625" style="281" customWidth="1"/>
    <col min="21" max="21" width="13.28515625" style="281" customWidth="1"/>
    <col min="22" max="22" width="15" style="281" customWidth="1"/>
    <col min="23" max="23" width="13.85546875" style="281" customWidth="1"/>
    <col min="24" max="24" width="12" style="281" customWidth="1"/>
    <col min="25" max="26" width="10" style="281" customWidth="1"/>
    <col min="27" max="27" width="25.28515625" style="281" customWidth="1"/>
    <col min="28" max="28" width="23.28515625" style="283" customWidth="1"/>
    <col min="29" max="16384" width="9.140625" style="283"/>
  </cols>
  <sheetData>
    <row r="1" spans="1:28" s="282" customFormat="1" ht="32.25" hidden="1" customHeight="1">
      <c r="A1" s="277"/>
      <c r="B1" s="278"/>
      <c r="C1" s="278"/>
      <c r="D1" s="278"/>
      <c r="E1" s="278"/>
      <c r="F1" s="278"/>
      <c r="G1" s="278"/>
      <c r="H1" s="279"/>
      <c r="I1" s="279"/>
      <c r="J1" s="279"/>
      <c r="K1" s="279"/>
      <c r="L1" s="279"/>
      <c r="M1" s="279"/>
      <c r="N1" s="279"/>
      <c r="O1" s="278"/>
      <c r="P1" s="280"/>
      <c r="Q1" s="278"/>
      <c r="R1" s="280"/>
      <c r="S1" s="280"/>
      <c r="T1" s="280"/>
      <c r="U1" s="280"/>
      <c r="V1" s="280"/>
      <c r="W1" s="280"/>
      <c r="X1" s="280"/>
      <c r="Y1" s="280"/>
      <c r="Z1" s="280"/>
      <c r="AA1" s="281" t="s">
        <v>27</v>
      </c>
    </row>
    <row r="2" spans="1:28" s="282" customFormat="1" ht="25.5">
      <c r="A2" s="494" t="s">
        <v>1364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row>
    <row r="3" spans="1:28" ht="56.25" customHeight="1">
      <c r="A3" s="495" t="s">
        <v>165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row>
    <row r="4" spans="1:28" ht="26.25">
      <c r="A4" s="496" t="str">
        <f>'B.I THDP'!A3:K3</f>
        <v>(Kèm theo Công văn số 1080/UBND-KTTH ngày   08  tháng  8  năm 2024 của Ủy ban nhân dân tỉnh An Giang)</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row>
    <row r="5" spans="1:28">
      <c r="A5" s="497" t="s">
        <v>1</v>
      </c>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row>
    <row r="6" spans="1:28" s="284" customFormat="1" ht="29.25" customHeight="1">
      <c r="A6" s="498" t="s">
        <v>28</v>
      </c>
      <c r="B6" s="499" t="s">
        <v>10</v>
      </c>
      <c r="C6" s="499" t="s">
        <v>29</v>
      </c>
      <c r="D6" s="499" t="s">
        <v>30</v>
      </c>
      <c r="E6" s="499" t="s">
        <v>31</v>
      </c>
      <c r="F6" s="499" t="s">
        <v>32</v>
      </c>
      <c r="G6" s="499"/>
      <c r="H6" s="499"/>
      <c r="I6" s="504" t="s">
        <v>96</v>
      </c>
      <c r="J6" s="505"/>
      <c r="K6" s="505"/>
      <c r="L6" s="506"/>
      <c r="M6" s="510" t="s">
        <v>100</v>
      </c>
      <c r="N6" s="511"/>
      <c r="O6" s="511"/>
      <c r="P6" s="511"/>
      <c r="Q6" s="511"/>
      <c r="R6" s="511"/>
      <c r="S6" s="511"/>
      <c r="T6" s="512"/>
      <c r="U6" s="504" t="s">
        <v>106</v>
      </c>
      <c r="V6" s="513"/>
      <c r="W6" s="504" t="s">
        <v>107</v>
      </c>
      <c r="X6" s="505"/>
      <c r="Y6" s="505"/>
      <c r="Z6" s="506"/>
      <c r="AA6" s="499" t="s">
        <v>33</v>
      </c>
      <c r="AB6" s="499" t="s">
        <v>592</v>
      </c>
    </row>
    <row r="7" spans="1:28" s="284" customFormat="1" ht="61.5" customHeight="1">
      <c r="A7" s="498"/>
      <c r="B7" s="499"/>
      <c r="C7" s="499"/>
      <c r="D7" s="499"/>
      <c r="E7" s="499"/>
      <c r="F7" s="499" t="s">
        <v>15</v>
      </c>
      <c r="G7" s="499" t="s">
        <v>35</v>
      </c>
      <c r="H7" s="499"/>
      <c r="I7" s="507"/>
      <c r="J7" s="508"/>
      <c r="K7" s="508"/>
      <c r="L7" s="509"/>
      <c r="M7" s="510" t="s">
        <v>21</v>
      </c>
      <c r="N7" s="512"/>
      <c r="O7" s="510" t="s">
        <v>101</v>
      </c>
      <c r="P7" s="512"/>
      <c r="Q7" s="510" t="s">
        <v>102</v>
      </c>
      <c r="R7" s="512"/>
      <c r="S7" s="510" t="s">
        <v>103</v>
      </c>
      <c r="T7" s="512"/>
      <c r="U7" s="514"/>
      <c r="V7" s="515"/>
      <c r="W7" s="507"/>
      <c r="X7" s="508"/>
      <c r="Y7" s="508"/>
      <c r="Z7" s="509"/>
      <c r="AA7" s="499"/>
      <c r="AB7" s="499"/>
    </row>
    <row r="8" spans="1:28" s="284" customFormat="1" ht="33.75" customHeight="1">
      <c r="A8" s="498"/>
      <c r="B8" s="499"/>
      <c r="C8" s="499"/>
      <c r="D8" s="499"/>
      <c r="E8" s="499"/>
      <c r="F8" s="499"/>
      <c r="G8" s="499" t="s">
        <v>3</v>
      </c>
      <c r="H8" s="501" t="s">
        <v>89</v>
      </c>
      <c r="I8" s="499" t="s">
        <v>3</v>
      </c>
      <c r="J8" s="499" t="s">
        <v>89</v>
      </c>
      <c r="K8" s="499"/>
      <c r="L8" s="499"/>
      <c r="M8" s="499" t="s">
        <v>3</v>
      </c>
      <c r="N8" s="501" t="s">
        <v>89</v>
      </c>
      <c r="O8" s="499" t="s">
        <v>3</v>
      </c>
      <c r="P8" s="501" t="s">
        <v>89</v>
      </c>
      <c r="Q8" s="499" t="s">
        <v>3</v>
      </c>
      <c r="R8" s="501" t="s">
        <v>89</v>
      </c>
      <c r="S8" s="499" t="s">
        <v>3</v>
      </c>
      <c r="T8" s="501" t="s">
        <v>89</v>
      </c>
      <c r="U8" s="499" t="s">
        <v>3</v>
      </c>
      <c r="V8" s="501" t="s">
        <v>89</v>
      </c>
      <c r="W8" s="499" t="s">
        <v>3</v>
      </c>
      <c r="X8" s="499" t="s">
        <v>89</v>
      </c>
      <c r="Y8" s="499"/>
      <c r="Z8" s="499"/>
      <c r="AA8" s="499"/>
      <c r="AB8" s="499"/>
    </row>
    <row r="9" spans="1:28" s="284" customFormat="1" ht="30.75" customHeight="1">
      <c r="A9" s="498"/>
      <c r="B9" s="499"/>
      <c r="C9" s="499"/>
      <c r="D9" s="499"/>
      <c r="E9" s="499"/>
      <c r="F9" s="499"/>
      <c r="G9" s="499"/>
      <c r="H9" s="502"/>
      <c r="I9" s="499"/>
      <c r="J9" s="501" t="s">
        <v>36</v>
      </c>
      <c r="K9" s="516" t="s">
        <v>8</v>
      </c>
      <c r="L9" s="516"/>
      <c r="M9" s="499"/>
      <c r="N9" s="502"/>
      <c r="O9" s="499"/>
      <c r="P9" s="502"/>
      <c r="Q9" s="499"/>
      <c r="R9" s="502"/>
      <c r="S9" s="499"/>
      <c r="T9" s="502"/>
      <c r="U9" s="499"/>
      <c r="V9" s="502"/>
      <c r="W9" s="499"/>
      <c r="X9" s="501" t="s">
        <v>36</v>
      </c>
      <c r="Y9" s="516" t="s">
        <v>8</v>
      </c>
      <c r="Z9" s="516"/>
      <c r="AA9" s="499"/>
      <c r="AB9" s="499"/>
    </row>
    <row r="10" spans="1:28" s="284" customFormat="1" ht="119.65" customHeight="1">
      <c r="A10" s="498"/>
      <c r="B10" s="499"/>
      <c r="C10" s="499"/>
      <c r="D10" s="499"/>
      <c r="E10" s="499"/>
      <c r="F10" s="499"/>
      <c r="G10" s="500"/>
      <c r="H10" s="503"/>
      <c r="I10" s="500"/>
      <c r="J10" s="503"/>
      <c r="K10" s="285" t="s">
        <v>66</v>
      </c>
      <c r="L10" s="285" t="s">
        <v>88</v>
      </c>
      <c r="M10" s="500"/>
      <c r="N10" s="503"/>
      <c r="O10" s="500"/>
      <c r="P10" s="503"/>
      <c r="Q10" s="500"/>
      <c r="R10" s="503"/>
      <c r="S10" s="500"/>
      <c r="T10" s="503"/>
      <c r="U10" s="500"/>
      <c r="V10" s="503"/>
      <c r="W10" s="500"/>
      <c r="X10" s="503"/>
      <c r="Y10" s="285" t="s">
        <v>66</v>
      </c>
      <c r="Z10" s="285" t="s">
        <v>88</v>
      </c>
      <c r="AA10" s="499"/>
      <c r="AB10" s="499"/>
    </row>
    <row r="11" spans="1:28" s="289" customFormat="1" ht="30.75" customHeight="1">
      <c r="A11" s="286">
        <v>1</v>
      </c>
      <c r="B11" s="287">
        <v>2</v>
      </c>
      <c r="C11" s="286">
        <v>3</v>
      </c>
      <c r="D11" s="286">
        <v>4</v>
      </c>
      <c r="E11" s="287">
        <v>5</v>
      </c>
      <c r="F11" s="286">
        <v>6</v>
      </c>
      <c r="G11" s="286">
        <v>7</v>
      </c>
      <c r="H11" s="287">
        <v>8</v>
      </c>
      <c r="I11" s="286">
        <v>9</v>
      </c>
      <c r="J11" s="286">
        <v>10</v>
      </c>
      <c r="K11" s="287">
        <v>11</v>
      </c>
      <c r="L11" s="286">
        <v>12</v>
      </c>
      <c r="M11" s="286">
        <v>13</v>
      </c>
      <c r="N11" s="287">
        <v>14</v>
      </c>
      <c r="O11" s="286">
        <v>15</v>
      </c>
      <c r="P11" s="286">
        <v>16</v>
      </c>
      <c r="Q11" s="286">
        <v>15</v>
      </c>
      <c r="R11" s="286">
        <v>16</v>
      </c>
      <c r="S11" s="287">
        <v>17</v>
      </c>
      <c r="T11" s="286">
        <v>18</v>
      </c>
      <c r="U11" s="286">
        <v>19</v>
      </c>
      <c r="V11" s="287">
        <v>20</v>
      </c>
      <c r="W11" s="286">
        <v>21</v>
      </c>
      <c r="X11" s="286">
        <v>22</v>
      </c>
      <c r="Y11" s="287">
        <v>23</v>
      </c>
      <c r="Z11" s="286">
        <v>24</v>
      </c>
      <c r="AA11" s="286">
        <v>25</v>
      </c>
      <c r="AB11" s="288"/>
    </row>
    <row r="12" spans="1:28" s="295" customFormat="1" ht="30.75" customHeight="1">
      <c r="A12" s="290"/>
      <c r="B12" s="291" t="s">
        <v>4</v>
      </c>
      <c r="C12" s="290"/>
      <c r="D12" s="290"/>
      <c r="E12" s="292"/>
      <c r="F12" s="290"/>
      <c r="G12" s="290"/>
      <c r="H12" s="292"/>
      <c r="I12" s="290"/>
      <c r="J12" s="290"/>
      <c r="K12" s="292"/>
      <c r="L12" s="290"/>
      <c r="M12" s="290"/>
      <c r="N12" s="292"/>
      <c r="O12" s="290"/>
      <c r="P12" s="290"/>
      <c r="Q12" s="290"/>
      <c r="R12" s="290"/>
      <c r="S12" s="292"/>
      <c r="T12" s="290"/>
      <c r="U12" s="290"/>
      <c r="V12" s="292"/>
      <c r="W12" s="293">
        <f>'B.I THDP'!J9</f>
        <v>8667088</v>
      </c>
      <c r="X12" s="293">
        <f>'B.I THDP'!J11</f>
        <v>4148377</v>
      </c>
      <c r="Y12" s="292"/>
      <c r="Z12" s="290"/>
      <c r="AA12" s="290"/>
      <c r="AB12" s="294"/>
    </row>
    <row r="13" spans="1:28" s="289" customFormat="1" hidden="1">
      <c r="A13" s="296"/>
      <c r="B13" s="291" t="s">
        <v>4</v>
      </c>
      <c r="C13" s="297"/>
      <c r="D13" s="297"/>
      <c r="E13" s="297"/>
      <c r="F13" s="297"/>
      <c r="G13" s="298">
        <f t="shared" ref="G13:Z13" si="0">G14+G22+G173+G204+G237+G247+G256+G349+G378</f>
        <v>34116038</v>
      </c>
      <c r="H13" s="298">
        <f t="shared" si="0"/>
        <v>12236793.592</v>
      </c>
      <c r="I13" s="298">
        <f t="shared" si="0"/>
        <v>11560006.678197436</v>
      </c>
      <c r="J13" s="298">
        <f t="shared" si="0"/>
        <v>9200277.678197436</v>
      </c>
      <c r="K13" s="298">
        <f t="shared" si="0"/>
        <v>9602</v>
      </c>
      <c r="L13" s="298">
        <f t="shared" si="0"/>
        <v>0</v>
      </c>
      <c r="M13" s="298">
        <f t="shared" si="0"/>
        <v>6379618</v>
      </c>
      <c r="N13" s="298">
        <f t="shared" si="0"/>
        <v>2673132</v>
      </c>
      <c r="O13" s="298">
        <f t="shared" si="0"/>
        <v>2570157.9232089999</v>
      </c>
      <c r="P13" s="298">
        <f t="shared" si="0"/>
        <v>781800.79220899998</v>
      </c>
      <c r="Q13" s="298">
        <f t="shared" si="0"/>
        <v>4048980.0982089997</v>
      </c>
      <c r="R13" s="298">
        <f t="shared" si="0"/>
        <v>1194729.1532089999</v>
      </c>
      <c r="S13" s="298">
        <f t="shared" si="0"/>
        <v>6011890.233209</v>
      </c>
      <c r="T13" s="298">
        <f t="shared" si="0"/>
        <v>2486523.233209</v>
      </c>
      <c r="U13" s="298">
        <f t="shared" si="0"/>
        <v>8071227.3187279999</v>
      </c>
      <c r="V13" s="298">
        <f t="shared" si="0"/>
        <v>6067896.3187279999</v>
      </c>
      <c r="W13" s="298">
        <f t="shared" si="0"/>
        <v>5017156.2575925924</v>
      </c>
      <c r="X13" s="298">
        <f t="shared" si="0"/>
        <v>2105507.2575925924</v>
      </c>
      <c r="Y13" s="298">
        <f t="shared" si="0"/>
        <v>9500</v>
      </c>
      <c r="Z13" s="298">
        <f t="shared" si="0"/>
        <v>500</v>
      </c>
      <c r="AA13" s="297"/>
      <c r="AB13" s="299"/>
    </row>
    <row r="14" spans="1:28" s="289" customFormat="1" ht="51.75" customHeight="1">
      <c r="A14" s="300" t="s">
        <v>37</v>
      </c>
      <c r="B14" s="301" t="s">
        <v>391</v>
      </c>
      <c r="C14" s="297"/>
      <c r="D14" s="297"/>
      <c r="E14" s="297"/>
      <c r="F14" s="297"/>
      <c r="G14" s="104">
        <f>+G15</f>
        <v>197552</v>
      </c>
      <c r="H14" s="104">
        <f t="shared" ref="H14:Z14" si="1">+H15</f>
        <v>197552</v>
      </c>
      <c r="I14" s="104">
        <f t="shared" si="1"/>
        <v>180607</v>
      </c>
      <c r="J14" s="104">
        <f t="shared" si="1"/>
        <v>180607</v>
      </c>
      <c r="K14" s="104">
        <f t="shared" si="1"/>
        <v>0</v>
      </c>
      <c r="L14" s="104">
        <f t="shared" si="1"/>
        <v>0</v>
      </c>
      <c r="M14" s="104">
        <f t="shared" si="1"/>
        <v>131640</v>
      </c>
      <c r="N14" s="104">
        <f t="shared" si="1"/>
        <v>131640</v>
      </c>
      <c r="O14" s="104">
        <f t="shared" si="1"/>
        <v>255</v>
      </c>
      <c r="P14" s="104">
        <f t="shared" si="1"/>
        <v>255</v>
      </c>
      <c r="Q14" s="104">
        <f t="shared" si="1"/>
        <v>85035.36</v>
      </c>
      <c r="R14" s="104">
        <f t="shared" si="1"/>
        <v>85035.36</v>
      </c>
      <c r="S14" s="104">
        <f t="shared" si="1"/>
        <v>85035.36</v>
      </c>
      <c r="T14" s="104">
        <f t="shared" si="1"/>
        <v>85035.36</v>
      </c>
      <c r="U14" s="104">
        <f t="shared" si="1"/>
        <v>89886</v>
      </c>
      <c r="V14" s="104">
        <f t="shared" si="1"/>
        <v>89886</v>
      </c>
      <c r="W14" s="104">
        <f t="shared" si="1"/>
        <v>0</v>
      </c>
      <c r="X14" s="104">
        <f t="shared" si="1"/>
        <v>0</v>
      </c>
      <c r="Y14" s="104">
        <f t="shared" si="1"/>
        <v>0</v>
      </c>
      <c r="Z14" s="104">
        <f t="shared" si="1"/>
        <v>0</v>
      </c>
      <c r="AA14" s="297"/>
      <c r="AB14" s="297"/>
    </row>
    <row r="15" spans="1:28" s="289" customFormat="1">
      <c r="A15" s="302" t="s">
        <v>43</v>
      </c>
      <c r="B15" s="301" t="s">
        <v>58</v>
      </c>
      <c r="C15" s="297"/>
      <c r="D15" s="297"/>
      <c r="E15" s="297"/>
      <c r="F15" s="297"/>
      <c r="G15" s="104">
        <f t="shared" ref="G15:Z15" si="2">+G16+G19</f>
        <v>197552</v>
      </c>
      <c r="H15" s="104">
        <f t="shared" si="2"/>
        <v>197552</v>
      </c>
      <c r="I15" s="104">
        <f t="shared" si="2"/>
        <v>180607</v>
      </c>
      <c r="J15" s="104">
        <f t="shared" si="2"/>
        <v>180607</v>
      </c>
      <c r="K15" s="104">
        <f t="shared" si="2"/>
        <v>0</v>
      </c>
      <c r="L15" s="104">
        <f t="shared" si="2"/>
        <v>0</v>
      </c>
      <c r="M15" s="104">
        <f t="shared" si="2"/>
        <v>131640</v>
      </c>
      <c r="N15" s="104">
        <f t="shared" si="2"/>
        <v>131640</v>
      </c>
      <c r="O15" s="104">
        <f t="shared" si="2"/>
        <v>255</v>
      </c>
      <c r="P15" s="104">
        <f t="shared" si="2"/>
        <v>255</v>
      </c>
      <c r="Q15" s="104">
        <f t="shared" si="2"/>
        <v>85035.36</v>
      </c>
      <c r="R15" s="104">
        <f t="shared" si="2"/>
        <v>85035.36</v>
      </c>
      <c r="S15" s="104">
        <f t="shared" si="2"/>
        <v>85035.36</v>
      </c>
      <c r="T15" s="104">
        <f t="shared" si="2"/>
        <v>85035.36</v>
      </c>
      <c r="U15" s="104">
        <f t="shared" si="2"/>
        <v>89886</v>
      </c>
      <c r="V15" s="104">
        <f t="shared" si="2"/>
        <v>89886</v>
      </c>
      <c r="W15" s="104">
        <f t="shared" si="2"/>
        <v>0</v>
      </c>
      <c r="X15" s="104">
        <f t="shared" si="2"/>
        <v>0</v>
      </c>
      <c r="Y15" s="104">
        <f t="shared" si="2"/>
        <v>0</v>
      </c>
      <c r="Z15" s="104">
        <f t="shared" si="2"/>
        <v>0</v>
      </c>
      <c r="AA15" s="297"/>
      <c r="AB15" s="299"/>
    </row>
    <row r="16" spans="1:28" s="289" customFormat="1" ht="56.25">
      <c r="A16" s="303" t="s">
        <v>39</v>
      </c>
      <c r="B16" s="304" t="s">
        <v>108</v>
      </c>
      <c r="C16" s="305"/>
      <c r="D16" s="305"/>
      <c r="E16" s="305"/>
      <c r="F16" s="305"/>
      <c r="G16" s="104">
        <f>+G17</f>
        <v>99863</v>
      </c>
      <c r="H16" s="104">
        <f t="shared" ref="H16:Z16" si="3">+H17</f>
        <v>99863</v>
      </c>
      <c r="I16" s="104">
        <f t="shared" si="3"/>
        <v>89892</v>
      </c>
      <c r="J16" s="104">
        <f t="shared" si="3"/>
        <v>89892</v>
      </c>
      <c r="K16" s="104">
        <f t="shared" si="3"/>
        <v>0</v>
      </c>
      <c r="L16" s="104">
        <f t="shared" si="3"/>
        <v>0</v>
      </c>
      <c r="M16" s="104">
        <f t="shared" si="3"/>
        <v>89640</v>
      </c>
      <c r="N16" s="104">
        <f t="shared" si="3"/>
        <v>89640</v>
      </c>
      <c r="O16" s="104">
        <f t="shared" si="3"/>
        <v>0</v>
      </c>
      <c r="P16" s="104">
        <f t="shared" si="3"/>
        <v>0</v>
      </c>
      <c r="Q16" s="104">
        <f t="shared" si="3"/>
        <v>84780.36</v>
      </c>
      <c r="R16" s="104">
        <f t="shared" si="3"/>
        <v>84780.36</v>
      </c>
      <c r="S16" s="104">
        <f t="shared" si="3"/>
        <v>84780.36</v>
      </c>
      <c r="T16" s="104">
        <f t="shared" si="3"/>
        <v>84780.36</v>
      </c>
      <c r="U16" s="104">
        <f t="shared" si="3"/>
        <v>89886</v>
      </c>
      <c r="V16" s="104">
        <f t="shared" si="3"/>
        <v>89886</v>
      </c>
      <c r="W16" s="104">
        <f t="shared" si="3"/>
        <v>0</v>
      </c>
      <c r="X16" s="104">
        <f t="shared" si="3"/>
        <v>0</v>
      </c>
      <c r="Y16" s="104">
        <f t="shared" si="3"/>
        <v>0</v>
      </c>
      <c r="Z16" s="104">
        <f t="shared" si="3"/>
        <v>0</v>
      </c>
      <c r="AA16" s="306"/>
      <c r="AB16" s="299"/>
    </row>
    <row r="17" spans="1:28" s="289" customFormat="1" ht="19.5">
      <c r="A17" s="307" t="s">
        <v>46</v>
      </c>
      <c r="B17" s="308" t="s">
        <v>18</v>
      </c>
      <c r="C17" s="309"/>
      <c r="D17" s="309"/>
      <c r="E17" s="309"/>
      <c r="F17" s="309"/>
      <c r="G17" s="105">
        <f>+G18</f>
        <v>99863</v>
      </c>
      <c r="H17" s="105">
        <f t="shared" ref="H17:Z17" si="4">+H18</f>
        <v>99863</v>
      </c>
      <c r="I17" s="105">
        <f t="shared" si="4"/>
        <v>89892</v>
      </c>
      <c r="J17" s="105">
        <f t="shared" si="4"/>
        <v>89892</v>
      </c>
      <c r="K17" s="105">
        <f t="shared" si="4"/>
        <v>0</v>
      </c>
      <c r="L17" s="105">
        <f t="shared" si="4"/>
        <v>0</v>
      </c>
      <c r="M17" s="105">
        <f t="shared" si="4"/>
        <v>89640</v>
      </c>
      <c r="N17" s="105">
        <f t="shared" si="4"/>
        <v>89640</v>
      </c>
      <c r="O17" s="105">
        <f t="shared" si="4"/>
        <v>0</v>
      </c>
      <c r="P17" s="105">
        <f t="shared" si="4"/>
        <v>0</v>
      </c>
      <c r="Q17" s="105">
        <f t="shared" si="4"/>
        <v>84780.36</v>
      </c>
      <c r="R17" s="105">
        <f t="shared" si="4"/>
        <v>84780.36</v>
      </c>
      <c r="S17" s="105">
        <f t="shared" si="4"/>
        <v>84780.36</v>
      </c>
      <c r="T17" s="105">
        <f t="shared" si="4"/>
        <v>84780.36</v>
      </c>
      <c r="U17" s="105">
        <f t="shared" si="4"/>
        <v>89886</v>
      </c>
      <c r="V17" s="105">
        <f t="shared" si="4"/>
        <v>89886</v>
      </c>
      <c r="W17" s="105">
        <f t="shared" si="4"/>
        <v>0</v>
      </c>
      <c r="X17" s="105">
        <f t="shared" si="4"/>
        <v>0</v>
      </c>
      <c r="Y17" s="105">
        <f t="shared" si="4"/>
        <v>0</v>
      </c>
      <c r="Z17" s="105">
        <f t="shared" si="4"/>
        <v>0</v>
      </c>
      <c r="AA17" s="310"/>
      <c r="AB17" s="299"/>
    </row>
    <row r="18" spans="1:28" s="289" customFormat="1" ht="89.25" customHeight="1">
      <c r="A18" s="311"/>
      <c r="B18" s="312" t="s">
        <v>382</v>
      </c>
      <c r="C18" s="313" t="s">
        <v>250</v>
      </c>
      <c r="D18" s="313" t="s">
        <v>383</v>
      </c>
      <c r="E18" s="313" t="s">
        <v>312</v>
      </c>
      <c r="F18" s="313" t="s">
        <v>384</v>
      </c>
      <c r="G18" s="106">
        <v>99863</v>
      </c>
      <c r="H18" s="106">
        <v>99863</v>
      </c>
      <c r="I18" s="106">
        <v>89892</v>
      </c>
      <c r="J18" s="106">
        <v>89892</v>
      </c>
      <c r="K18" s="106"/>
      <c r="L18" s="106"/>
      <c r="M18" s="106">
        <v>89640</v>
      </c>
      <c r="N18" s="106">
        <v>89640</v>
      </c>
      <c r="O18" s="106"/>
      <c r="P18" s="106"/>
      <c r="Q18" s="106">
        <v>84780.36</v>
      </c>
      <c r="R18" s="106">
        <v>84780.36</v>
      </c>
      <c r="S18" s="106">
        <v>84780.36</v>
      </c>
      <c r="T18" s="106">
        <v>84780.36</v>
      </c>
      <c r="U18" s="106">
        <v>89886</v>
      </c>
      <c r="V18" s="106">
        <v>89886</v>
      </c>
      <c r="W18" s="106"/>
      <c r="X18" s="106"/>
      <c r="Y18" s="106"/>
      <c r="Z18" s="106"/>
      <c r="AA18" s="313" t="s">
        <v>385</v>
      </c>
      <c r="AB18" s="314" t="s">
        <v>593</v>
      </c>
    </row>
    <row r="19" spans="1:28" s="289" customFormat="1" ht="37.5">
      <c r="A19" s="303" t="s">
        <v>41</v>
      </c>
      <c r="B19" s="304" t="s">
        <v>109</v>
      </c>
      <c r="C19" s="313"/>
      <c r="D19" s="313"/>
      <c r="E19" s="313"/>
      <c r="F19" s="313"/>
      <c r="G19" s="104">
        <f>+G20</f>
        <v>97689</v>
      </c>
      <c r="H19" s="104">
        <f t="shared" ref="H19:Z19" si="5">+H20</f>
        <v>97689</v>
      </c>
      <c r="I19" s="104">
        <f t="shared" si="5"/>
        <v>90715</v>
      </c>
      <c r="J19" s="104">
        <f t="shared" si="5"/>
        <v>90715</v>
      </c>
      <c r="K19" s="104">
        <f t="shared" si="5"/>
        <v>0</v>
      </c>
      <c r="L19" s="104">
        <f t="shared" si="5"/>
        <v>0</v>
      </c>
      <c r="M19" s="104">
        <f t="shared" si="5"/>
        <v>42000</v>
      </c>
      <c r="N19" s="104">
        <f t="shared" si="5"/>
        <v>42000</v>
      </c>
      <c r="O19" s="104">
        <f t="shared" si="5"/>
        <v>255</v>
      </c>
      <c r="P19" s="104">
        <f t="shared" si="5"/>
        <v>255</v>
      </c>
      <c r="Q19" s="104">
        <f t="shared" si="5"/>
        <v>255</v>
      </c>
      <c r="R19" s="104">
        <f t="shared" si="5"/>
        <v>255</v>
      </c>
      <c r="S19" s="104">
        <f t="shared" si="5"/>
        <v>255</v>
      </c>
      <c r="T19" s="104">
        <f t="shared" si="5"/>
        <v>255</v>
      </c>
      <c r="U19" s="104">
        <f t="shared" si="5"/>
        <v>0</v>
      </c>
      <c r="V19" s="104">
        <f t="shared" si="5"/>
        <v>0</v>
      </c>
      <c r="W19" s="104">
        <f t="shared" si="5"/>
        <v>0</v>
      </c>
      <c r="X19" s="104">
        <f t="shared" si="5"/>
        <v>0</v>
      </c>
      <c r="Y19" s="104">
        <f t="shared" si="5"/>
        <v>0</v>
      </c>
      <c r="Z19" s="104">
        <f t="shared" si="5"/>
        <v>0</v>
      </c>
      <c r="AA19" s="315"/>
      <c r="AB19" s="299"/>
    </row>
    <row r="20" spans="1:28" s="289" customFormat="1" ht="19.5">
      <c r="A20" s="307" t="s">
        <v>46</v>
      </c>
      <c r="B20" s="308" t="s">
        <v>18</v>
      </c>
      <c r="C20" s="309"/>
      <c r="D20" s="309"/>
      <c r="E20" s="309"/>
      <c r="F20" s="309"/>
      <c r="G20" s="105">
        <f>+G21</f>
        <v>97689</v>
      </c>
      <c r="H20" s="105">
        <f t="shared" ref="H20:Z20" si="6">+H21</f>
        <v>97689</v>
      </c>
      <c r="I20" s="105">
        <f t="shared" si="6"/>
        <v>90715</v>
      </c>
      <c r="J20" s="105">
        <f t="shared" si="6"/>
        <v>90715</v>
      </c>
      <c r="K20" s="105">
        <f t="shared" si="6"/>
        <v>0</v>
      </c>
      <c r="L20" s="105">
        <f t="shared" si="6"/>
        <v>0</v>
      </c>
      <c r="M20" s="105">
        <f t="shared" si="6"/>
        <v>42000</v>
      </c>
      <c r="N20" s="105">
        <f t="shared" si="6"/>
        <v>42000</v>
      </c>
      <c r="O20" s="105">
        <f t="shared" si="6"/>
        <v>255</v>
      </c>
      <c r="P20" s="105">
        <f t="shared" si="6"/>
        <v>255</v>
      </c>
      <c r="Q20" s="105">
        <f t="shared" si="6"/>
        <v>255</v>
      </c>
      <c r="R20" s="105">
        <f t="shared" si="6"/>
        <v>255</v>
      </c>
      <c r="S20" s="105">
        <f t="shared" si="6"/>
        <v>255</v>
      </c>
      <c r="T20" s="105">
        <f t="shared" si="6"/>
        <v>255</v>
      </c>
      <c r="U20" s="105">
        <f t="shared" si="6"/>
        <v>0</v>
      </c>
      <c r="V20" s="105">
        <f t="shared" si="6"/>
        <v>0</v>
      </c>
      <c r="W20" s="105">
        <f t="shared" si="6"/>
        <v>0</v>
      </c>
      <c r="X20" s="105">
        <f t="shared" si="6"/>
        <v>0</v>
      </c>
      <c r="Y20" s="105">
        <f t="shared" si="6"/>
        <v>0</v>
      </c>
      <c r="Z20" s="105">
        <f t="shared" si="6"/>
        <v>0</v>
      </c>
      <c r="AA20" s="310"/>
      <c r="AB20" s="299"/>
    </row>
    <row r="21" spans="1:28" s="289" customFormat="1" ht="112.5">
      <c r="A21" s="311"/>
      <c r="B21" s="312" t="s">
        <v>386</v>
      </c>
      <c r="C21" s="313" t="s">
        <v>387</v>
      </c>
      <c r="D21" s="313" t="s">
        <v>388</v>
      </c>
      <c r="E21" s="313" t="s">
        <v>257</v>
      </c>
      <c r="F21" s="313" t="s">
        <v>389</v>
      </c>
      <c r="G21" s="106">
        <v>97689</v>
      </c>
      <c r="H21" s="106">
        <v>97689</v>
      </c>
      <c r="I21" s="106">
        <v>90715</v>
      </c>
      <c r="J21" s="106">
        <v>90715</v>
      </c>
      <c r="K21" s="106"/>
      <c r="L21" s="106"/>
      <c r="M21" s="106">
        <v>42000</v>
      </c>
      <c r="N21" s="106">
        <v>42000</v>
      </c>
      <c r="O21" s="106">
        <v>255</v>
      </c>
      <c r="P21" s="106">
        <v>255</v>
      </c>
      <c r="Q21" s="106">
        <v>255</v>
      </c>
      <c r="R21" s="106">
        <v>255</v>
      </c>
      <c r="S21" s="106">
        <v>255</v>
      </c>
      <c r="T21" s="106">
        <v>255</v>
      </c>
      <c r="U21" s="106"/>
      <c r="V21" s="106"/>
      <c r="W21" s="106"/>
      <c r="X21" s="106"/>
      <c r="Y21" s="106"/>
      <c r="Z21" s="106"/>
      <c r="AA21" s="297" t="s">
        <v>390</v>
      </c>
      <c r="AB21" s="314" t="s">
        <v>593</v>
      </c>
    </row>
    <row r="22" spans="1:28" s="289" customFormat="1" ht="49.5" customHeight="1">
      <c r="A22" s="300" t="s">
        <v>44</v>
      </c>
      <c r="B22" s="316" t="s">
        <v>281</v>
      </c>
      <c r="C22" s="297"/>
      <c r="D22" s="297"/>
      <c r="E22" s="297"/>
      <c r="F22" s="297"/>
      <c r="G22" s="107">
        <f>G23+G32</f>
        <v>4746907</v>
      </c>
      <c r="H22" s="107">
        <f t="shared" ref="H22:Z22" si="7">H23+H32</f>
        <v>3600376</v>
      </c>
      <c r="I22" s="107">
        <f t="shared" si="7"/>
        <v>2571442.6781974351</v>
      </c>
      <c r="J22" s="107">
        <f t="shared" si="7"/>
        <v>2582150.6781974351</v>
      </c>
      <c r="K22" s="107">
        <f t="shared" si="7"/>
        <v>0</v>
      </c>
      <c r="L22" s="107">
        <f t="shared" si="7"/>
        <v>0</v>
      </c>
      <c r="M22" s="107">
        <f t="shared" si="7"/>
        <v>838818</v>
      </c>
      <c r="N22" s="107">
        <f t="shared" si="7"/>
        <v>785677</v>
      </c>
      <c r="O22" s="107">
        <f t="shared" si="7"/>
        <v>186955.636</v>
      </c>
      <c r="P22" s="107">
        <f t="shared" si="7"/>
        <v>162773.60500000001</v>
      </c>
      <c r="Q22" s="107">
        <f t="shared" si="7"/>
        <v>470647.64500000002</v>
      </c>
      <c r="R22" s="107">
        <f t="shared" si="7"/>
        <v>439379.8</v>
      </c>
      <c r="S22" s="107">
        <f t="shared" si="7"/>
        <v>807202</v>
      </c>
      <c r="T22" s="107">
        <f t="shared" si="7"/>
        <v>770604</v>
      </c>
      <c r="U22" s="107">
        <f t="shared" si="7"/>
        <v>1365182.1189999999</v>
      </c>
      <c r="V22" s="107">
        <f t="shared" si="7"/>
        <v>1309409.1189999999</v>
      </c>
      <c r="W22" s="107">
        <f t="shared" si="7"/>
        <v>1090814.2575925926</v>
      </c>
      <c r="X22" s="107">
        <f t="shared" si="7"/>
        <v>1046426.2575925926</v>
      </c>
      <c r="Y22" s="107">
        <f t="shared" si="7"/>
        <v>3000</v>
      </c>
      <c r="Z22" s="107">
        <f t="shared" si="7"/>
        <v>500</v>
      </c>
      <c r="AA22" s="297"/>
      <c r="AB22" s="297"/>
    </row>
    <row r="23" spans="1:28" s="289" customFormat="1">
      <c r="A23" s="302" t="s">
        <v>38</v>
      </c>
      <c r="B23" s="301" t="s">
        <v>83</v>
      </c>
      <c r="C23" s="297"/>
      <c r="D23" s="297"/>
      <c r="E23" s="297"/>
      <c r="F23" s="297"/>
      <c r="G23" s="104">
        <f>SUM(G24:G31)</f>
        <v>37394</v>
      </c>
      <c r="H23" s="104">
        <f t="shared" ref="H23:Z23" si="8">SUM(H24:H31)</f>
        <v>37394</v>
      </c>
      <c r="I23" s="104">
        <f t="shared" si="8"/>
        <v>0</v>
      </c>
      <c r="J23" s="104">
        <f t="shared" si="8"/>
        <v>0</v>
      </c>
      <c r="K23" s="104">
        <f t="shared" si="8"/>
        <v>0</v>
      </c>
      <c r="L23" s="104">
        <f t="shared" si="8"/>
        <v>0</v>
      </c>
      <c r="M23" s="104">
        <f t="shared" si="8"/>
        <v>0</v>
      </c>
      <c r="N23" s="104">
        <f t="shared" si="8"/>
        <v>0</v>
      </c>
      <c r="O23" s="104">
        <f t="shared" si="8"/>
        <v>0</v>
      </c>
      <c r="P23" s="104">
        <f t="shared" si="8"/>
        <v>0</v>
      </c>
      <c r="Q23" s="104">
        <f t="shared" si="8"/>
        <v>0</v>
      </c>
      <c r="R23" s="104">
        <f t="shared" si="8"/>
        <v>0</v>
      </c>
      <c r="S23" s="104">
        <f t="shared" si="8"/>
        <v>0</v>
      </c>
      <c r="T23" s="104">
        <f t="shared" si="8"/>
        <v>0</v>
      </c>
      <c r="U23" s="104">
        <f t="shared" si="8"/>
        <v>0</v>
      </c>
      <c r="V23" s="104">
        <f t="shared" si="8"/>
        <v>0</v>
      </c>
      <c r="W23" s="104">
        <f t="shared" si="8"/>
        <v>73951.7</v>
      </c>
      <c r="X23" s="104">
        <f t="shared" si="8"/>
        <v>73951.7</v>
      </c>
      <c r="Y23" s="104">
        <f t="shared" si="8"/>
        <v>0</v>
      </c>
      <c r="Z23" s="104">
        <f t="shared" si="8"/>
        <v>500</v>
      </c>
      <c r="AA23" s="297"/>
      <c r="AB23" s="299"/>
    </row>
    <row r="24" spans="1:28" s="289" customFormat="1" ht="49.5" customHeight="1">
      <c r="A24" s="317">
        <v>1</v>
      </c>
      <c r="B24" s="312" t="s">
        <v>392</v>
      </c>
      <c r="C24" s="297" t="s">
        <v>364</v>
      </c>
      <c r="D24" s="297" t="s">
        <v>393</v>
      </c>
      <c r="E24" s="318" t="s">
        <v>394</v>
      </c>
      <c r="F24" s="297" t="s">
        <v>54</v>
      </c>
      <c r="G24" s="106">
        <f>H24</f>
        <v>14994</v>
      </c>
      <c r="H24" s="106">
        <v>14994</v>
      </c>
      <c r="I24" s="106">
        <f>J24</f>
        <v>0</v>
      </c>
      <c r="J24" s="106">
        <f>K24+L24</f>
        <v>0</v>
      </c>
      <c r="K24" s="106">
        <v>0</v>
      </c>
      <c r="L24" s="106">
        <v>0</v>
      </c>
      <c r="M24" s="106">
        <f>N24</f>
        <v>0</v>
      </c>
      <c r="N24" s="106">
        <v>0</v>
      </c>
      <c r="O24" s="106">
        <f>P24</f>
        <v>0</v>
      </c>
      <c r="P24" s="106">
        <v>0</v>
      </c>
      <c r="Q24" s="106">
        <f>R24</f>
        <v>0</v>
      </c>
      <c r="R24" s="106">
        <v>0</v>
      </c>
      <c r="S24" s="106">
        <f>T24</f>
        <v>0</v>
      </c>
      <c r="T24" s="106">
        <v>0</v>
      </c>
      <c r="U24" s="106">
        <f>V24</f>
        <v>0</v>
      </c>
      <c r="V24" s="106">
        <v>0</v>
      </c>
      <c r="W24" s="106">
        <f>X24</f>
        <v>800</v>
      </c>
      <c r="X24" s="106">
        <v>800</v>
      </c>
      <c r="Y24" s="106"/>
      <c r="Z24" s="106"/>
      <c r="AA24" s="297" t="s">
        <v>825</v>
      </c>
      <c r="AB24" s="314" t="s">
        <v>593</v>
      </c>
    </row>
    <row r="25" spans="1:28" s="289" customFormat="1" ht="49.5" customHeight="1">
      <c r="A25" s="317">
        <v>2</v>
      </c>
      <c r="B25" s="312" t="s">
        <v>395</v>
      </c>
      <c r="C25" s="297" t="s">
        <v>396</v>
      </c>
      <c r="D25" s="297" t="s">
        <v>397</v>
      </c>
      <c r="E25" s="297" t="s">
        <v>398</v>
      </c>
      <c r="F25" s="297"/>
      <c r="G25" s="106">
        <f>H25</f>
        <v>11200</v>
      </c>
      <c r="H25" s="106">
        <v>11200</v>
      </c>
      <c r="I25" s="106"/>
      <c r="J25" s="106"/>
      <c r="K25" s="106"/>
      <c r="L25" s="106"/>
      <c r="M25" s="106"/>
      <c r="N25" s="106"/>
      <c r="O25" s="106"/>
      <c r="P25" s="106"/>
      <c r="Q25" s="106"/>
      <c r="R25" s="106"/>
      <c r="S25" s="106"/>
      <c r="T25" s="106"/>
      <c r="U25" s="106"/>
      <c r="V25" s="106"/>
      <c r="W25" s="106">
        <f>X25</f>
        <v>631.70000000000005</v>
      </c>
      <c r="X25" s="106">
        <v>631.70000000000005</v>
      </c>
      <c r="Y25" s="106"/>
      <c r="Z25" s="106"/>
      <c r="AA25" s="297" t="s">
        <v>826</v>
      </c>
      <c r="AB25" s="314" t="s">
        <v>593</v>
      </c>
    </row>
    <row r="26" spans="1:28" s="289" customFormat="1" ht="49.5" customHeight="1">
      <c r="A26" s="317">
        <v>3</v>
      </c>
      <c r="B26" s="312" t="s">
        <v>399</v>
      </c>
      <c r="C26" s="297" t="s">
        <v>364</v>
      </c>
      <c r="D26" s="297" t="s">
        <v>397</v>
      </c>
      <c r="E26" s="297" t="s">
        <v>398</v>
      </c>
      <c r="F26" s="297"/>
      <c r="G26" s="106">
        <f>H26</f>
        <v>11200</v>
      </c>
      <c r="H26" s="106">
        <v>11200</v>
      </c>
      <c r="I26" s="106"/>
      <c r="J26" s="106"/>
      <c r="K26" s="106"/>
      <c r="L26" s="106"/>
      <c r="M26" s="106"/>
      <c r="N26" s="106"/>
      <c r="O26" s="106"/>
      <c r="P26" s="106"/>
      <c r="Q26" s="106"/>
      <c r="R26" s="106"/>
      <c r="S26" s="106"/>
      <c r="T26" s="106"/>
      <c r="U26" s="106"/>
      <c r="V26" s="106"/>
      <c r="W26" s="106">
        <f>X26</f>
        <v>720</v>
      </c>
      <c r="X26" s="106">
        <v>720</v>
      </c>
      <c r="Y26" s="106"/>
      <c r="Z26" s="106"/>
      <c r="AA26" s="297" t="s">
        <v>826</v>
      </c>
      <c r="AB26" s="314" t="s">
        <v>593</v>
      </c>
    </row>
    <row r="27" spans="1:28" s="289" customFormat="1" ht="49.5" customHeight="1">
      <c r="A27" s="317">
        <v>4</v>
      </c>
      <c r="B27" s="312" t="s">
        <v>400</v>
      </c>
      <c r="C27" s="297" t="s">
        <v>401</v>
      </c>
      <c r="D27" s="297" t="s">
        <v>402</v>
      </c>
      <c r="E27" s="297" t="s">
        <v>403</v>
      </c>
      <c r="F27" s="297"/>
      <c r="G27" s="106"/>
      <c r="H27" s="106"/>
      <c r="I27" s="106"/>
      <c r="J27" s="106"/>
      <c r="K27" s="106"/>
      <c r="L27" s="106"/>
      <c r="M27" s="106"/>
      <c r="N27" s="106"/>
      <c r="O27" s="106"/>
      <c r="P27" s="106"/>
      <c r="Q27" s="106"/>
      <c r="R27" s="106"/>
      <c r="S27" s="106"/>
      <c r="T27" s="106"/>
      <c r="U27" s="106"/>
      <c r="V27" s="106"/>
      <c r="W27" s="106">
        <v>800</v>
      </c>
      <c r="X27" s="106">
        <v>800</v>
      </c>
      <c r="Y27" s="106"/>
      <c r="Z27" s="106"/>
      <c r="AA27" s="297" t="s">
        <v>826</v>
      </c>
      <c r="AB27" s="314" t="s">
        <v>593</v>
      </c>
    </row>
    <row r="28" spans="1:28" s="289" customFormat="1" ht="49.5" customHeight="1">
      <c r="A28" s="317">
        <v>5</v>
      </c>
      <c r="B28" s="312" t="s">
        <v>404</v>
      </c>
      <c r="C28" s="297" t="s">
        <v>401</v>
      </c>
      <c r="D28" s="297" t="s">
        <v>405</v>
      </c>
      <c r="E28" s="297" t="s">
        <v>403</v>
      </c>
      <c r="F28" s="297"/>
      <c r="G28" s="106"/>
      <c r="H28" s="106"/>
      <c r="I28" s="106"/>
      <c r="J28" s="106"/>
      <c r="K28" s="106"/>
      <c r="L28" s="106"/>
      <c r="M28" s="106"/>
      <c r="N28" s="106"/>
      <c r="O28" s="106"/>
      <c r="P28" s="106"/>
      <c r="Q28" s="106"/>
      <c r="R28" s="106"/>
      <c r="S28" s="106"/>
      <c r="T28" s="106"/>
      <c r="U28" s="106"/>
      <c r="V28" s="106"/>
      <c r="W28" s="106">
        <v>500</v>
      </c>
      <c r="X28" s="106">
        <v>500</v>
      </c>
      <c r="Y28" s="106"/>
      <c r="Z28" s="106"/>
      <c r="AA28" s="297" t="s">
        <v>826</v>
      </c>
      <c r="AB28" s="314" t="s">
        <v>593</v>
      </c>
    </row>
    <row r="29" spans="1:28" s="289" customFormat="1" ht="49.5" customHeight="1">
      <c r="A29" s="317">
        <v>6</v>
      </c>
      <c r="B29" s="312" t="s">
        <v>406</v>
      </c>
      <c r="C29" s="297" t="s">
        <v>407</v>
      </c>
      <c r="D29" s="297" t="s">
        <v>408</v>
      </c>
      <c r="E29" s="297" t="s">
        <v>409</v>
      </c>
      <c r="F29" s="297"/>
      <c r="G29" s="106"/>
      <c r="H29" s="106"/>
      <c r="I29" s="106"/>
      <c r="J29" s="106"/>
      <c r="K29" s="106"/>
      <c r="L29" s="106"/>
      <c r="M29" s="106"/>
      <c r="N29" s="106"/>
      <c r="O29" s="106"/>
      <c r="P29" s="106"/>
      <c r="Q29" s="106"/>
      <c r="R29" s="106"/>
      <c r="S29" s="106"/>
      <c r="T29" s="106"/>
      <c r="U29" s="106"/>
      <c r="V29" s="106"/>
      <c r="W29" s="106">
        <v>500</v>
      </c>
      <c r="X29" s="106">
        <v>500</v>
      </c>
      <c r="Y29" s="106"/>
      <c r="Z29" s="106">
        <v>500</v>
      </c>
      <c r="AA29" s="297" t="s">
        <v>826</v>
      </c>
      <c r="AB29" s="314" t="s">
        <v>593</v>
      </c>
    </row>
    <row r="30" spans="1:28" s="289" customFormat="1" ht="67.5" customHeight="1">
      <c r="A30" s="317">
        <v>7</v>
      </c>
      <c r="B30" s="312" t="s">
        <v>410</v>
      </c>
      <c r="C30" s="297"/>
      <c r="D30" s="297"/>
      <c r="E30" s="297" t="s">
        <v>411</v>
      </c>
      <c r="F30" s="297"/>
      <c r="G30" s="106"/>
      <c r="H30" s="106"/>
      <c r="I30" s="106"/>
      <c r="J30" s="106"/>
      <c r="K30" s="106"/>
      <c r="L30" s="106"/>
      <c r="M30" s="106"/>
      <c r="N30" s="106"/>
      <c r="O30" s="106"/>
      <c r="P30" s="106"/>
      <c r="Q30" s="106"/>
      <c r="R30" s="106"/>
      <c r="S30" s="106"/>
      <c r="T30" s="106"/>
      <c r="U30" s="106"/>
      <c r="V30" s="106"/>
      <c r="W30" s="106">
        <v>43542</v>
      </c>
      <c r="X30" s="106">
        <v>43542</v>
      </c>
      <c r="Y30" s="106"/>
      <c r="Z30" s="106"/>
      <c r="AA30" s="297" t="s">
        <v>412</v>
      </c>
      <c r="AB30" s="314" t="s">
        <v>593</v>
      </c>
    </row>
    <row r="31" spans="1:28" s="289" customFormat="1" ht="49.5" customHeight="1">
      <c r="A31" s="317">
        <v>8</v>
      </c>
      <c r="B31" s="312" t="s">
        <v>413</v>
      </c>
      <c r="C31" s="297"/>
      <c r="D31" s="297"/>
      <c r="E31" s="297" t="s">
        <v>411</v>
      </c>
      <c r="F31" s="297"/>
      <c r="G31" s="106"/>
      <c r="H31" s="106"/>
      <c r="I31" s="106"/>
      <c r="J31" s="106"/>
      <c r="K31" s="106"/>
      <c r="L31" s="106"/>
      <c r="M31" s="106"/>
      <c r="N31" s="106"/>
      <c r="O31" s="106"/>
      <c r="P31" s="106"/>
      <c r="Q31" s="106"/>
      <c r="R31" s="106"/>
      <c r="S31" s="106"/>
      <c r="T31" s="106"/>
      <c r="U31" s="106"/>
      <c r="V31" s="106"/>
      <c r="W31" s="106">
        <v>26458</v>
      </c>
      <c r="X31" s="106">
        <v>26458</v>
      </c>
      <c r="Y31" s="106"/>
      <c r="Z31" s="106"/>
      <c r="AA31" s="297" t="s">
        <v>412</v>
      </c>
      <c r="AB31" s="314" t="s">
        <v>593</v>
      </c>
    </row>
    <row r="32" spans="1:28" s="289" customFormat="1">
      <c r="A32" s="302" t="s">
        <v>38</v>
      </c>
      <c r="B32" s="301" t="s">
        <v>58</v>
      </c>
      <c r="C32" s="297"/>
      <c r="D32" s="297"/>
      <c r="E32" s="297"/>
      <c r="F32" s="297"/>
      <c r="G32" s="107">
        <f t="shared" ref="G32:Z32" si="9">G33+G71+G107+G142</f>
        <v>4709513</v>
      </c>
      <c r="H32" s="107">
        <f t="shared" si="9"/>
        <v>3562982</v>
      </c>
      <c r="I32" s="107">
        <f t="shared" si="9"/>
        <v>2571442.6781974351</v>
      </c>
      <c r="J32" s="107">
        <f t="shared" si="9"/>
        <v>2582150.6781974351</v>
      </c>
      <c r="K32" s="107">
        <f t="shared" si="9"/>
        <v>0</v>
      </c>
      <c r="L32" s="107">
        <f t="shared" si="9"/>
        <v>0</v>
      </c>
      <c r="M32" s="107">
        <f t="shared" si="9"/>
        <v>838818</v>
      </c>
      <c r="N32" s="107">
        <f t="shared" si="9"/>
        <v>785677</v>
      </c>
      <c r="O32" s="107">
        <f t="shared" si="9"/>
        <v>186955.636</v>
      </c>
      <c r="P32" s="107">
        <f t="shared" si="9"/>
        <v>162773.60500000001</v>
      </c>
      <c r="Q32" s="107">
        <f t="shared" si="9"/>
        <v>470647.64500000002</v>
      </c>
      <c r="R32" s="107">
        <f t="shared" si="9"/>
        <v>439379.8</v>
      </c>
      <c r="S32" s="107">
        <f t="shared" si="9"/>
        <v>807202</v>
      </c>
      <c r="T32" s="107">
        <f t="shared" si="9"/>
        <v>770604</v>
      </c>
      <c r="U32" s="107">
        <f t="shared" si="9"/>
        <v>1365182.1189999999</v>
      </c>
      <c r="V32" s="107">
        <f t="shared" si="9"/>
        <v>1309409.1189999999</v>
      </c>
      <c r="W32" s="107">
        <f t="shared" si="9"/>
        <v>1016862.5575925927</v>
      </c>
      <c r="X32" s="107">
        <f t="shared" si="9"/>
        <v>972474.55759259267</v>
      </c>
      <c r="Y32" s="107">
        <f t="shared" si="9"/>
        <v>3000</v>
      </c>
      <c r="Z32" s="107">
        <f t="shared" si="9"/>
        <v>0</v>
      </c>
      <c r="AA32" s="297"/>
      <c r="AB32" s="299"/>
    </row>
    <row r="33" spans="1:32" s="289" customFormat="1" ht="56.25">
      <c r="A33" s="303" t="s">
        <v>39</v>
      </c>
      <c r="B33" s="304" t="s">
        <v>108</v>
      </c>
      <c r="C33" s="305"/>
      <c r="D33" s="305"/>
      <c r="E33" s="305"/>
      <c r="F33" s="305"/>
      <c r="G33" s="108">
        <f>G34+G38</f>
        <v>922531</v>
      </c>
      <c r="H33" s="108">
        <f t="shared" ref="H33:Z33" si="10">H34+H38</f>
        <v>741116</v>
      </c>
      <c r="I33" s="108">
        <f t="shared" si="10"/>
        <v>683015</v>
      </c>
      <c r="J33" s="108">
        <f t="shared" si="10"/>
        <v>639919</v>
      </c>
      <c r="K33" s="108">
        <f t="shared" si="10"/>
        <v>0</v>
      </c>
      <c r="L33" s="108">
        <f t="shared" si="10"/>
        <v>0</v>
      </c>
      <c r="M33" s="108">
        <f t="shared" si="10"/>
        <v>212763</v>
      </c>
      <c r="N33" s="108">
        <f t="shared" si="10"/>
        <v>185836</v>
      </c>
      <c r="O33" s="108">
        <f t="shared" si="10"/>
        <v>82615.971000000005</v>
      </c>
      <c r="P33" s="108">
        <f t="shared" si="10"/>
        <v>61732.785000000003</v>
      </c>
      <c r="Q33" s="108">
        <f t="shared" si="10"/>
        <v>167259.79999999999</v>
      </c>
      <c r="R33" s="108">
        <f t="shared" si="10"/>
        <v>141607.79999999999</v>
      </c>
      <c r="S33" s="108">
        <f t="shared" si="10"/>
        <v>213913</v>
      </c>
      <c r="T33" s="108">
        <f t="shared" si="10"/>
        <v>186986</v>
      </c>
      <c r="U33" s="108">
        <f t="shared" si="10"/>
        <v>551829.12899999996</v>
      </c>
      <c r="V33" s="108">
        <f t="shared" si="10"/>
        <v>516724.12900000002</v>
      </c>
      <c r="W33" s="108">
        <f t="shared" si="10"/>
        <v>55687</v>
      </c>
      <c r="X33" s="108">
        <f t="shared" si="10"/>
        <v>55687</v>
      </c>
      <c r="Y33" s="108">
        <f t="shared" si="10"/>
        <v>0</v>
      </c>
      <c r="Z33" s="108">
        <f t="shared" si="10"/>
        <v>0</v>
      </c>
      <c r="AA33" s="305"/>
      <c r="AB33" s="299"/>
    </row>
    <row r="34" spans="1:32" s="289" customFormat="1" ht="19.5">
      <c r="A34" s="319" t="s">
        <v>45</v>
      </c>
      <c r="B34" s="320" t="s">
        <v>18</v>
      </c>
      <c r="C34" s="309"/>
      <c r="D34" s="309"/>
      <c r="E34" s="309"/>
      <c r="F34" s="309"/>
      <c r="G34" s="109">
        <f>SUM(G35:G37)</f>
        <v>196509</v>
      </c>
      <c r="H34" s="109">
        <f t="shared" ref="H34:Z34" si="11">SUM(H35:H37)</f>
        <v>159275</v>
      </c>
      <c r="I34" s="109">
        <f t="shared" si="11"/>
        <v>184661</v>
      </c>
      <c r="J34" s="109">
        <f t="shared" si="11"/>
        <v>154031</v>
      </c>
      <c r="K34" s="109">
        <f t="shared" si="11"/>
        <v>0</v>
      </c>
      <c r="L34" s="109">
        <f t="shared" si="11"/>
        <v>0</v>
      </c>
      <c r="M34" s="109">
        <f t="shared" si="11"/>
        <v>63575</v>
      </c>
      <c r="N34" s="109">
        <f t="shared" si="11"/>
        <v>40000</v>
      </c>
      <c r="O34" s="109">
        <f t="shared" si="11"/>
        <v>32054.785</v>
      </c>
      <c r="P34" s="109">
        <f t="shared" si="11"/>
        <v>12019.785</v>
      </c>
      <c r="Q34" s="109">
        <f t="shared" si="11"/>
        <v>67530</v>
      </c>
      <c r="R34" s="109">
        <f t="shared" si="11"/>
        <v>43955</v>
      </c>
      <c r="S34" s="109">
        <f t="shared" si="11"/>
        <v>68265</v>
      </c>
      <c r="T34" s="109">
        <f t="shared" si="11"/>
        <v>44690</v>
      </c>
      <c r="U34" s="109">
        <f t="shared" si="11"/>
        <v>121982</v>
      </c>
      <c r="V34" s="109">
        <f t="shared" si="11"/>
        <v>93827</v>
      </c>
      <c r="W34" s="109">
        <f t="shared" si="11"/>
        <v>47635</v>
      </c>
      <c r="X34" s="109">
        <f t="shared" si="11"/>
        <v>47635</v>
      </c>
      <c r="Y34" s="109">
        <f t="shared" si="11"/>
        <v>0</v>
      </c>
      <c r="Z34" s="109">
        <f t="shared" si="11"/>
        <v>0</v>
      </c>
      <c r="AA34" s="309"/>
      <c r="AB34" s="299"/>
    </row>
    <row r="35" spans="1:32" s="289" customFormat="1" ht="107.25" customHeight="1">
      <c r="A35" s="321">
        <v>1</v>
      </c>
      <c r="B35" s="322" t="s">
        <v>282</v>
      </c>
      <c r="C35" s="321" t="s">
        <v>283</v>
      </c>
      <c r="D35" s="314" t="s">
        <v>284</v>
      </c>
      <c r="E35" s="314" t="s">
        <v>257</v>
      </c>
      <c r="F35" s="323" t="s">
        <v>285</v>
      </c>
      <c r="G35" s="110">
        <f>H35+33234</f>
        <v>69664</v>
      </c>
      <c r="H35" s="110">
        <v>36430</v>
      </c>
      <c r="I35" s="110">
        <f>J35+30635</f>
        <v>63422</v>
      </c>
      <c r="J35" s="110">
        <v>32787</v>
      </c>
      <c r="K35" s="110">
        <v>0</v>
      </c>
      <c r="L35" s="110">
        <v>0</v>
      </c>
      <c r="M35" s="110">
        <f>N35+23575</f>
        <v>38575</v>
      </c>
      <c r="N35" s="110">
        <v>15000</v>
      </c>
      <c r="O35" s="110">
        <f>P35+20035</f>
        <v>31358.785</v>
      </c>
      <c r="P35" s="110">
        <v>11323.785</v>
      </c>
      <c r="Q35" s="110">
        <f>R35+23575</f>
        <v>38575</v>
      </c>
      <c r="R35" s="110">
        <v>15000</v>
      </c>
      <c r="S35" s="110">
        <f>T35+23575</f>
        <v>38575</v>
      </c>
      <c r="T35" s="110">
        <v>15000</v>
      </c>
      <c r="U35" s="110">
        <f>V35+4580+23575</f>
        <v>60757</v>
      </c>
      <c r="V35" s="110">
        <f>17602+15000</f>
        <v>32602</v>
      </c>
      <c r="W35" s="110">
        <f>X35</f>
        <v>0</v>
      </c>
      <c r="X35" s="110">
        <f>SUM(Y35:Z35)</f>
        <v>0</v>
      </c>
      <c r="Y35" s="110">
        <v>0</v>
      </c>
      <c r="Z35" s="110">
        <v>0</v>
      </c>
      <c r="AA35" s="324" t="s">
        <v>286</v>
      </c>
      <c r="AB35" s="314" t="s">
        <v>595</v>
      </c>
    </row>
    <row r="36" spans="1:32" s="289" customFormat="1" ht="69" customHeight="1">
      <c r="A36" s="321">
        <v>2</v>
      </c>
      <c r="B36" s="312" t="s">
        <v>414</v>
      </c>
      <c r="C36" s="313" t="s">
        <v>304</v>
      </c>
      <c r="D36" s="313" t="s">
        <v>415</v>
      </c>
      <c r="E36" s="313" t="s">
        <v>416</v>
      </c>
      <c r="F36" s="88" t="s">
        <v>417</v>
      </c>
      <c r="G36" s="106">
        <v>74150</v>
      </c>
      <c r="H36" s="106">
        <v>70150</v>
      </c>
      <c r="I36" s="106">
        <v>73813</v>
      </c>
      <c r="J36" s="106">
        <v>73818</v>
      </c>
      <c r="K36" s="106"/>
      <c r="L36" s="106"/>
      <c r="M36" s="106">
        <v>20000</v>
      </c>
      <c r="N36" s="106">
        <v>20000</v>
      </c>
      <c r="O36" s="106">
        <v>157</v>
      </c>
      <c r="P36" s="106">
        <v>157</v>
      </c>
      <c r="Q36" s="106">
        <v>14250</v>
      </c>
      <c r="R36" s="106">
        <v>14250</v>
      </c>
      <c r="S36" s="106">
        <v>14985</v>
      </c>
      <c r="T36" s="106">
        <v>14985</v>
      </c>
      <c r="U36" s="106">
        <v>30364</v>
      </c>
      <c r="V36" s="106">
        <v>30364</v>
      </c>
      <c r="W36" s="106">
        <v>47635</v>
      </c>
      <c r="X36" s="106">
        <v>47635</v>
      </c>
      <c r="Y36" s="106"/>
      <c r="Z36" s="106"/>
      <c r="AA36" s="315"/>
      <c r="AB36" s="314" t="s">
        <v>593</v>
      </c>
    </row>
    <row r="37" spans="1:32" s="289" customFormat="1" ht="107.25" customHeight="1">
      <c r="A37" s="321">
        <v>3</v>
      </c>
      <c r="B37" s="325" t="s">
        <v>418</v>
      </c>
      <c r="C37" s="313" t="s">
        <v>250</v>
      </c>
      <c r="D37" s="313" t="s">
        <v>419</v>
      </c>
      <c r="E37" s="313" t="s">
        <v>257</v>
      </c>
      <c r="F37" s="88" t="s">
        <v>420</v>
      </c>
      <c r="G37" s="106">
        <v>52695</v>
      </c>
      <c r="H37" s="106">
        <v>52695</v>
      </c>
      <c r="I37" s="106">
        <v>47426</v>
      </c>
      <c r="J37" s="106">
        <v>47426</v>
      </c>
      <c r="K37" s="106"/>
      <c r="L37" s="106"/>
      <c r="M37" s="106">
        <v>5000</v>
      </c>
      <c r="N37" s="106">
        <v>5000</v>
      </c>
      <c r="O37" s="106">
        <v>539</v>
      </c>
      <c r="P37" s="106">
        <v>539</v>
      </c>
      <c r="Q37" s="106">
        <v>14705</v>
      </c>
      <c r="R37" s="106">
        <v>14705</v>
      </c>
      <c r="S37" s="106">
        <v>14705</v>
      </c>
      <c r="T37" s="106">
        <v>14705</v>
      </c>
      <c r="U37" s="106">
        <v>30861</v>
      </c>
      <c r="V37" s="106">
        <v>30861</v>
      </c>
      <c r="W37" s="106">
        <v>0</v>
      </c>
      <c r="X37" s="106">
        <v>0</v>
      </c>
      <c r="Y37" s="106">
        <v>0</v>
      </c>
      <c r="Z37" s="106">
        <v>0</v>
      </c>
      <c r="AA37" s="313" t="s">
        <v>421</v>
      </c>
      <c r="AB37" s="314" t="s">
        <v>593</v>
      </c>
    </row>
    <row r="38" spans="1:32" s="289" customFormat="1" ht="19.5">
      <c r="A38" s="319" t="s">
        <v>46</v>
      </c>
      <c r="B38" s="320" t="s">
        <v>20</v>
      </c>
      <c r="C38" s="313"/>
      <c r="D38" s="313"/>
      <c r="E38" s="313"/>
      <c r="F38" s="313"/>
      <c r="G38" s="109">
        <f>SUM(G39:G70)</f>
        <v>726022</v>
      </c>
      <c r="H38" s="109">
        <f t="shared" ref="H38:Z38" si="12">SUM(H39:H70)</f>
        <v>581841</v>
      </c>
      <c r="I38" s="109">
        <f t="shared" si="12"/>
        <v>498354</v>
      </c>
      <c r="J38" s="109">
        <f t="shared" si="12"/>
        <v>485888</v>
      </c>
      <c r="K38" s="109">
        <f t="shared" si="12"/>
        <v>0</v>
      </c>
      <c r="L38" s="109">
        <f t="shared" si="12"/>
        <v>0</v>
      </c>
      <c r="M38" s="109">
        <f t="shared" si="12"/>
        <v>149188</v>
      </c>
      <c r="N38" s="109">
        <f t="shared" si="12"/>
        <v>145836</v>
      </c>
      <c r="O38" s="109">
        <f t="shared" si="12"/>
        <v>50561.186000000002</v>
      </c>
      <c r="P38" s="109">
        <f t="shared" si="12"/>
        <v>49713</v>
      </c>
      <c r="Q38" s="109">
        <f t="shared" si="12"/>
        <v>99729.8</v>
      </c>
      <c r="R38" s="109">
        <f t="shared" si="12"/>
        <v>97652.800000000003</v>
      </c>
      <c r="S38" s="109">
        <f t="shared" si="12"/>
        <v>145648</v>
      </c>
      <c r="T38" s="109">
        <f t="shared" si="12"/>
        <v>142296</v>
      </c>
      <c r="U38" s="109">
        <f t="shared" si="12"/>
        <v>429847.12900000002</v>
      </c>
      <c r="V38" s="109">
        <f t="shared" si="12"/>
        <v>422897.12900000002</v>
      </c>
      <c r="W38" s="109">
        <f t="shared" si="12"/>
        <v>8052</v>
      </c>
      <c r="X38" s="109">
        <f t="shared" si="12"/>
        <v>8052</v>
      </c>
      <c r="Y38" s="109">
        <f t="shared" si="12"/>
        <v>0</v>
      </c>
      <c r="Z38" s="109">
        <f t="shared" si="12"/>
        <v>0</v>
      </c>
      <c r="AA38" s="313"/>
      <c r="AB38" s="299"/>
    </row>
    <row r="39" spans="1:32" s="289" customFormat="1" ht="112.5">
      <c r="A39" s="321">
        <v>1</v>
      </c>
      <c r="B39" s="326" t="s">
        <v>287</v>
      </c>
      <c r="C39" s="321" t="s">
        <v>283</v>
      </c>
      <c r="D39" s="327" t="s">
        <v>288</v>
      </c>
      <c r="E39" s="314" t="s">
        <v>289</v>
      </c>
      <c r="F39" s="327" t="s">
        <v>290</v>
      </c>
      <c r="G39" s="110">
        <f>H39+7730</f>
        <v>33207</v>
      </c>
      <c r="H39" s="110">
        <v>25477</v>
      </c>
      <c r="I39" s="110">
        <f>J39+5000</f>
        <v>16266</v>
      </c>
      <c r="J39" s="110">
        <v>11266</v>
      </c>
      <c r="K39" s="110">
        <v>0</v>
      </c>
      <c r="L39" s="110">
        <v>0</v>
      </c>
      <c r="M39" s="110">
        <f>N39+1330</f>
        <v>11330</v>
      </c>
      <c r="N39" s="110">
        <v>10000</v>
      </c>
      <c r="O39" s="110">
        <f>P39+413.186</f>
        <v>10413.186</v>
      </c>
      <c r="P39" s="110">
        <v>10000</v>
      </c>
      <c r="Q39" s="110">
        <f>R39+826</f>
        <v>10826</v>
      </c>
      <c r="R39" s="110">
        <v>10000</v>
      </c>
      <c r="S39" s="110">
        <f>T39+1330</f>
        <v>11330</v>
      </c>
      <c r="T39" s="110">
        <v>10000</v>
      </c>
      <c r="U39" s="110">
        <f>V39+356+692+1330+50</f>
        <v>12428</v>
      </c>
      <c r="V39" s="110">
        <v>10000</v>
      </c>
      <c r="W39" s="110">
        <f>X39</f>
        <v>0</v>
      </c>
      <c r="X39" s="110">
        <f>SUM(Y39:Z39)</f>
        <v>0</v>
      </c>
      <c r="Y39" s="110">
        <v>0</v>
      </c>
      <c r="Z39" s="110">
        <v>0</v>
      </c>
      <c r="AA39" s="324" t="s">
        <v>291</v>
      </c>
      <c r="AB39" s="314" t="s">
        <v>595</v>
      </c>
    </row>
    <row r="40" spans="1:32" s="289" customFormat="1" ht="97.5" customHeight="1">
      <c r="A40" s="321">
        <v>2</v>
      </c>
      <c r="B40" s="312" t="s">
        <v>310</v>
      </c>
      <c r="C40" s="314" t="s">
        <v>304</v>
      </c>
      <c r="D40" s="313" t="s">
        <v>311</v>
      </c>
      <c r="E40" s="313" t="s">
        <v>312</v>
      </c>
      <c r="F40" s="313" t="s">
        <v>313</v>
      </c>
      <c r="G40" s="328">
        <v>3986</v>
      </c>
      <c r="H40" s="328">
        <v>3986</v>
      </c>
      <c r="I40" s="110">
        <v>4500</v>
      </c>
      <c r="J40" s="110">
        <v>4500</v>
      </c>
      <c r="K40" s="110">
        <v>0</v>
      </c>
      <c r="L40" s="110">
        <v>0</v>
      </c>
      <c r="M40" s="110">
        <v>3986</v>
      </c>
      <c r="N40" s="110">
        <v>3986</v>
      </c>
      <c r="O40" s="110">
        <v>3469</v>
      </c>
      <c r="P40" s="110">
        <v>3469</v>
      </c>
      <c r="Q40" s="110"/>
      <c r="R40" s="110"/>
      <c r="S40" s="110"/>
      <c r="T40" s="110"/>
      <c r="U40" s="110">
        <v>3986</v>
      </c>
      <c r="V40" s="110">
        <v>3986</v>
      </c>
      <c r="W40" s="110"/>
      <c r="X40" s="110"/>
      <c r="Y40" s="110"/>
      <c r="Z40" s="110"/>
      <c r="AA40" s="315"/>
      <c r="AB40" s="329" t="s">
        <v>596</v>
      </c>
    </row>
    <row r="41" spans="1:32" s="289" customFormat="1" ht="87.75" customHeight="1">
      <c r="A41" s="311" t="s">
        <v>5</v>
      </c>
      <c r="B41" s="330" t="s">
        <v>323</v>
      </c>
      <c r="C41" s="313" t="s">
        <v>324</v>
      </c>
      <c r="D41" s="327" t="s">
        <v>325</v>
      </c>
      <c r="E41" s="318" t="s">
        <v>252</v>
      </c>
      <c r="F41" s="331" t="s">
        <v>326</v>
      </c>
      <c r="G41" s="121">
        <v>9732</v>
      </c>
      <c r="H41" s="121">
        <v>8127</v>
      </c>
      <c r="I41" s="110">
        <f>7376+894</f>
        <v>8270</v>
      </c>
      <c r="J41" s="110">
        <v>7376</v>
      </c>
      <c r="K41" s="110"/>
      <c r="L41" s="110"/>
      <c r="M41" s="110"/>
      <c r="N41" s="110"/>
      <c r="O41" s="107"/>
      <c r="P41" s="110"/>
      <c r="Q41" s="110"/>
      <c r="R41" s="110"/>
      <c r="S41" s="110">
        <v>1231</v>
      </c>
      <c r="T41" s="110">
        <v>1231</v>
      </c>
      <c r="U41" s="110">
        <v>8266.719000000001</v>
      </c>
      <c r="V41" s="110">
        <v>7376.7190000000001</v>
      </c>
      <c r="W41" s="110"/>
      <c r="X41" s="110"/>
      <c r="Y41" s="110"/>
      <c r="Z41" s="110"/>
      <c r="AA41" s="110"/>
      <c r="AB41" s="314" t="s">
        <v>597</v>
      </c>
      <c r="AC41" s="332"/>
      <c r="AD41" s="110"/>
      <c r="AE41" s="110"/>
      <c r="AF41" s="315"/>
    </row>
    <row r="42" spans="1:32" s="289" customFormat="1" ht="110.25" customHeight="1">
      <c r="A42" s="311" t="s">
        <v>6</v>
      </c>
      <c r="B42" s="330" t="s">
        <v>327</v>
      </c>
      <c r="C42" s="313" t="s">
        <v>328</v>
      </c>
      <c r="D42" s="327" t="s">
        <v>329</v>
      </c>
      <c r="E42" s="318" t="s">
        <v>230</v>
      </c>
      <c r="F42" s="331" t="s">
        <v>330</v>
      </c>
      <c r="G42" s="333">
        <v>25439</v>
      </c>
      <c r="H42" s="333">
        <v>20529</v>
      </c>
      <c r="I42" s="110">
        <f>19146+1632</f>
        <v>20778</v>
      </c>
      <c r="J42" s="110">
        <v>19146</v>
      </c>
      <c r="K42" s="110"/>
      <c r="L42" s="110"/>
      <c r="M42" s="110">
        <v>22</v>
      </c>
      <c r="N42" s="110"/>
      <c r="O42" s="119"/>
      <c r="P42" s="110"/>
      <c r="Q42" s="110">
        <v>22</v>
      </c>
      <c r="R42" s="110"/>
      <c r="S42" s="110">
        <v>1484</v>
      </c>
      <c r="T42" s="110">
        <v>1462</v>
      </c>
      <c r="U42" s="110">
        <v>18287.600999999999</v>
      </c>
      <c r="V42" s="110">
        <v>16655.601000000002</v>
      </c>
      <c r="W42" s="110"/>
      <c r="X42" s="110"/>
      <c r="Y42" s="110"/>
      <c r="Z42" s="110"/>
      <c r="AA42" s="110"/>
      <c r="AB42" s="314" t="s">
        <v>597</v>
      </c>
      <c r="AC42" s="332"/>
      <c r="AD42" s="110"/>
      <c r="AE42" s="110">
        <v>1428</v>
      </c>
      <c r="AF42" s="315"/>
    </row>
    <row r="43" spans="1:32" s="289" customFormat="1" ht="110.25" customHeight="1">
      <c r="A43" s="311" t="s">
        <v>14</v>
      </c>
      <c r="B43" s="312" t="s">
        <v>422</v>
      </c>
      <c r="C43" s="313" t="s">
        <v>218</v>
      </c>
      <c r="D43" s="313" t="s">
        <v>423</v>
      </c>
      <c r="E43" s="313" t="s">
        <v>230</v>
      </c>
      <c r="F43" s="313" t="s">
        <v>424</v>
      </c>
      <c r="G43" s="106">
        <v>33954</v>
      </c>
      <c r="H43" s="106">
        <v>33954</v>
      </c>
      <c r="I43" s="106">
        <v>30558</v>
      </c>
      <c r="J43" s="106">
        <v>30558</v>
      </c>
      <c r="K43" s="106"/>
      <c r="L43" s="106"/>
      <c r="M43" s="106">
        <v>17058</v>
      </c>
      <c r="N43" s="106">
        <v>17058</v>
      </c>
      <c r="O43" s="106">
        <v>1318</v>
      </c>
      <c r="P43" s="106">
        <v>1318</v>
      </c>
      <c r="Q43" s="106">
        <v>10200</v>
      </c>
      <c r="R43" s="106">
        <v>10200</v>
      </c>
      <c r="S43" s="106">
        <v>17058</v>
      </c>
      <c r="T43" s="106">
        <v>17058</v>
      </c>
      <c r="U43" s="106">
        <v>29381</v>
      </c>
      <c r="V43" s="106">
        <v>29381</v>
      </c>
      <c r="W43" s="106">
        <v>0</v>
      </c>
      <c r="X43" s="106">
        <v>0</v>
      </c>
      <c r="Y43" s="106"/>
      <c r="Z43" s="106"/>
      <c r="AA43" s="334" t="s">
        <v>425</v>
      </c>
      <c r="AB43" s="314" t="s">
        <v>593</v>
      </c>
      <c r="AC43" s="335"/>
      <c r="AD43" s="335"/>
      <c r="AE43" s="335"/>
      <c r="AF43" s="281"/>
    </row>
    <row r="44" spans="1:32" s="289" customFormat="1" ht="110.25" customHeight="1">
      <c r="A44" s="311" t="s">
        <v>48</v>
      </c>
      <c r="B44" s="312" t="s">
        <v>426</v>
      </c>
      <c r="C44" s="313" t="s">
        <v>396</v>
      </c>
      <c r="D44" s="313" t="s">
        <v>427</v>
      </c>
      <c r="E44" s="313" t="s">
        <v>230</v>
      </c>
      <c r="F44" s="313" t="s">
        <v>428</v>
      </c>
      <c r="G44" s="106">
        <v>34470</v>
      </c>
      <c r="H44" s="106">
        <v>34470</v>
      </c>
      <c r="I44" s="106">
        <f>+J44</f>
        <v>31526</v>
      </c>
      <c r="J44" s="106">
        <v>31526</v>
      </c>
      <c r="K44" s="106"/>
      <c r="L44" s="106"/>
      <c r="M44" s="106">
        <f>N44</f>
        <v>19711</v>
      </c>
      <c r="N44" s="106">
        <v>19711</v>
      </c>
      <c r="O44" s="106">
        <f>+P44</f>
        <v>3843</v>
      </c>
      <c r="P44" s="106">
        <v>3843</v>
      </c>
      <c r="Q44" s="106">
        <f>+R44</f>
        <v>10843</v>
      </c>
      <c r="R44" s="106">
        <f>+P44+7000</f>
        <v>10843</v>
      </c>
      <c r="S44" s="106">
        <f>+T44</f>
        <v>19711</v>
      </c>
      <c r="T44" s="106">
        <v>19711</v>
      </c>
      <c r="U44" s="106">
        <f>+V44</f>
        <v>31481.809000000001</v>
      </c>
      <c r="V44" s="106">
        <v>31481.809000000001</v>
      </c>
      <c r="W44" s="106"/>
      <c r="X44" s="106">
        <v>0</v>
      </c>
      <c r="Y44" s="106"/>
      <c r="Z44" s="106"/>
      <c r="AA44" s="313" t="s">
        <v>429</v>
      </c>
      <c r="AB44" s="314" t="s">
        <v>593</v>
      </c>
      <c r="AC44" s="335"/>
      <c r="AD44" s="335"/>
      <c r="AE44" s="335"/>
      <c r="AF44" s="281"/>
    </row>
    <row r="45" spans="1:32" s="289" customFormat="1" ht="110.25" customHeight="1">
      <c r="A45" s="311" t="s">
        <v>49</v>
      </c>
      <c r="B45" s="325" t="s">
        <v>430</v>
      </c>
      <c r="C45" s="313" t="s">
        <v>431</v>
      </c>
      <c r="D45" s="313" t="s">
        <v>432</v>
      </c>
      <c r="E45" s="313" t="s">
        <v>433</v>
      </c>
      <c r="F45" s="313" t="s">
        <v>434</v>
      </c>
      <c r="G45" s="106">
        <v>5360</v>
      </c>
      <c r="H45" s="106">
        <v>5360</v>
      </c>
      <c r="I45" s="106">
        <v>5360</v>
      </c>
      <c r="J45" s="106">
        <v>5360</v>
      </c>
      <c r="K45" s="106"/>
      <c r="L45" s="106"/>
      <c r="M45" s="106">
        <v>0</v>
      </c>
      <c r="N45" s="106">
        <v>0</v>
      </c>
      <c r="O45" s="106">
        <v>0</v>
      </c>
      <c r="P45" s="106">
        <v>0</v>
      </c>
      <c r="Q45" s="106">
        <v>0</v>
      </c>
      <c r="R45" s="106">
        <v>0</v>
      </c>
      <c r="S45" s="106">
        <v>0</v>
      </c>
      <c r="T45" s="106">
        <v>0</v>
      </c>
      <c r="U45" s="106">
        <v>5360</v>
      </c>
      <c r="V45" s="106">
        <v>5360</v>
      </c>
      <c r="W45" s="106">
        <v>0</v>
      </c>
      <c r="X45" s="106">
        <v>0</v>
      </c>
      <c r="Y45" s="106">
        <v>0</v>
      </c>
      <c r="Z45" s="106">
        <v>0</v>
      </c>
      <c r="AA45" s="334" t="s">
        <v>435</v>
      </c>
      <c r="AB45" s="314" t="s">
        <v>593</v>
      </c>
      <c r="AC45" s="335"/>
      <c r="AD45" s="335"/>
      <c r="AE45" s="335"/>
      <c r="AF45" s="281"/>
    </row>
    <row r="46" spans="1:32" s="289" customFormat="1" ht="37.5">
      <c r="A46" s="336">
        <v>8</v>
      </c>
      <c r="B46" s="330" t="s">
        <v>625</v>
      </c>
      <c r="C46" s="336" t="s">
        <v>626</v>
      </c>
      <c r="D46" s="327" t="s">
        <v>627</v>
      </c>
      <c r="E46" s="327" t="s">
        <v>628</v>
      </c>
      <c r="F46" s="327" t="s">
        <v>629</v>
      </c>
      <c r="G46" s="91">
        <v>20663</v>
      </c>
      <c r="H46" s="92">
        <v>15368</v>
      </c>
      <c r="I46" s="92">
        <f>J46</f>
        <v>15368</v>
      </c>
      <c r="J46" s="92">
        <v>15368</v>
      </c>
      <c r="K46" s="106"/>
      <c r="L46" s="106"/>
      <c r="M46" s="297">
        <f>N46</f>
        <v>9650</v>
      </c>
      <c r="N46" s="95">
        <v>9650</v>
      </c>
      <c r="O46" s="94">
        <f>P46</f>
        <v>0</v>
      </c>
      <c r="P46" s="95"/>
      <c r="Q46" s="297">
        <f>R46</f>
        <v>4390</v>
      </c>
      <c r="R46" s="91">
        <v>4390</v>
      </c>
      <c r="S46" s="94">
        <f>T46</f>
        <v>9650</v>
      </c>
      <c r="T46" s="94">
        <v>9650</v>
      </c>
      <c r="U46" s="297">
        <f>V46</f>
        <v>13850</v>
      </c>
      <c r="V46" s="124">
        <f>4200+9650</f>
        <v>13850</v>
      </c>
      <c r="W46" s="94">
        <f>X46</f>
        <v>0</v>
      </c>
      <c r="X46" s="297"/>
      <c r="Y46" s="297"/>
      <c r="Z46" s="297"/>
      <c r="AA46" s="297"/>
      <c r="AB46" s="314" t="s">
        <v>639</v>
      </c>
      <c r="AC46" s="335"/>
      <c r="AD46" s="335"/>
      <c r="AE46" s="335"/>
      <c r="AF46" s="281"/>
    </row>
    <row r="47" spans="1:32" s="289" customFormat="1" ht="37.5">
      <c r="A47" s="336">
        <v>9</v>
      </c>
      <c r="B47" s="330" t="s">
        <v>630</v>
      </c>
      <c r="C47" s="336" t="s">
        <v>631</v>
      </c>
      <c r="D47" s="327" t="s">
        <v>632</v>
      </c>
      <c r="E47" s="327" t="s">
        <v>628</v>
      </c>
      <c r="F47" s="327" t="s">
        <v>633</v>
      </c>
      <c r="G47" s="125">
        <v>42091</v>
      </c>
      <c r="H47" s="125">
        <v>32266</v>
      </c>
      <c r="I47" s="92">
        <f t="shared" ref="I47:I48" si="13">J47</f>
        <v>32266</v>
      </c>
      <c r="J47" s="92">
        <v>32266</v>
      </c>
      <c r="K47" s="106"/>
      <c r="L47" s="106"/>
      <c r="M47" s="297">
        <f t="shared" ref="M47:M48" si="14">N47</f>
        <v>17266</v>
      </c>
      <c r="N47" s="95">
        <v>17266</v>
      </c>
      <c r="O47" s="94">
        <f t="shared" ref="O47:O48" si="15">P47</f>
        <v>8198</v>
      </c>
      <c r="P47" s="95">
        <v>8198</v>
      </c>
      <c r="Q47" s="297">
        <f t="shared" ref="Q47:Q48" si="16">R47</f>
        <v>13430</v>
      </c>
      <c r="R47" s="91">
        <v>13430</v>
      </c>
      <c r="S47" s="94">
        <f t="shared" ref="S47:S48" si="17">T47</f>
        <v>17266</v>
      </c>
      <c r="T47" s="94">
        <v>17266</v>
      </c>
      <c r="U47" s="297">
        <f t="shared" ref="U47:U48" si="18">V47</f>
        <v>32266</v>
      </c>
      <c r="V47" s="93">
        <f>15000+17266</f>
        <v>32266</v>
      </c>
      <c r="W47" s="94">
        <f t="shared" ref="W47" si="19">X47</f>
        <v>0</v>
      </c>
      <c r="X47" s="94">
        <f t="shared" ref="X47" si="20">J47-V47</f>
        <v>0</v>
      </c>
      <c r="Y47" s="297"/>
      <c r="Z47" s="297"/>
      <c r="AA47" s="297"/>
      <c r="AB47" s="314" t="s">
        <v>639</v>
      </c>
      <c r="AC47" s="335"/>
      <c r="AD47" s="335"/>
      <c r="AE47" s="335"/>
      <c r="AF47" s="281"/>
    </row>
    <row r="48" spans="1:32" s="289" customFormat="1" ht="187.5">
      <c r="A48" s="336">
        <v>10</v>
      </c>
      <c r="B48" s="337" t="s">
        <v>634</v>
      </c>
      <c r="C48" s="314" t="s">
        <v>635</v>
      </c>
      <c r="D48" s="327" t="s">
        <v>636</v>
      </c>
      <c r="E48" s="338" t="s">
        <v>230</v>
      </c>
      <c r="F48" s="93" t="s">
        <v>637</v>
      </c>
      <c r="G48" s="91">
        <v>31138</v>
      </c>
      <c r="H48" s="99">
        <v>24847</v>
      </c>
      <c r="I48" s="92">
        <f t="shared" si="13"/>
        <v>24847</v>
      </c>
      <c r="J48" s="92">
        <v>24847</v>
      </c>
      <c r="K48" s="106"/>
      <c r="L48" s="106"/>
      <c r="M48" s="297">
        <f t="shared" si="14"/>
        <v>5396</v>
      </c>
      <c r="N48" s="95">
        <f>24847-19451</f>
        <v>5396</v>
      </c>
      <c r="O48" s="94">
        <f t="shared" si="15"/>
        <v>0</v>
      </c>
      <c r="P48" s="93"/>
      <c r="Q48" s="94">
        <f t="shared" si="16"/>
        <v>5396</v>
      </c>
      <c r="R48" s="91">
        <v>5396</v>
      </c>
      <c r="S48" s="94">
        <f t="shared" si="17"/>
        <v>5396</v>
      </c>
      <c r="T48" s="94">
        <v>5396</v>
      </c>
      <c r="U48" s="94">
        <f t="shared" si="18"/>
        <v>24847</v>
      </c>
      <c r="V48" s="93">
        <f>19451+5396</f>
        <v>24847</v>
      </c>
      <c r="W48" s="94"/>
      <c r="X48" s="94"/>
      <c r="Y48" s="94"/>
      <c r="Z48" s="94"/>
      <c r="AA48" s="297" t="s">
        <v>638</v>
      </c>
      <c r="AB48" s="314" t="s">
        <v>639</v>
      </c>
      <c r="AC48" s="335"/>
      <c r="AD48" s="335"/>
      <c r="AE48" s="335"/>
      <c r="AF48" s="281"/>
    </row>
    <row r="49" spans="1:32" s="289" customFormat="1" ht="103.5" customHeight="1">
      <c r="A49" s="339">
        <v>11</v>
      </c>
      <c r="B49" s="340" t="s">
        <v>677</v>
      </c>
      <c r="C49" s="331" t="s">
        <v>678</v>
      </c>
      <c r="D49" s="341" t="s">
        <v>679</v>
      </c>
      <c r="E49" s="341" t="s">
        <v>230</v>
      </c>
      <c r="F49" s="341" t="s">
        <v>680</v>
      </c>
      <c r="G49" s="103">
        <v>23363</v>
      </c>
      <c r="H49" s="103">
        <v>18173</v>
      </c>
      <c r="I49" s="103">
        <f>4940+J49</f>
        <v>21374</v>
      </c>
      <c r="J49" s="103">
        <v>16434</v>
      </c>
      <c r="K49" s="106"/>
      <c r="L49" s="106"/>
      <c r="M49" s="103">
        <f>2000+N49</f>
        <v>18434</v>
      </c>
      <c r="N49" s="103">
        <v>16434</v>
      </c>
      <c r="O49" s="342">
        <f>P49+435</f>
        <v>7463</v>
      </c>
      <c r="P49" s="103">
        <v>7028</v>
      </c>
      <c r="Q49" s="103">
        <v>11429</v>
      </c>
      <c r="R49" s="103">
        <v>10200</v>
      </c>
      <c r="S49" s="103">
        <f>T49+2000</f>
        <v>18434</v>
      </c>
      <c r="T49" s="103">
        <f>N49</f>
        <v>16434</v>
      </c>
      <c r="U49" s="103">
        <f>M49</f>
        <v>18434</v>
      </c>
      <c r="V49" s="103">
        <f>N49</f>
        <v>16434</v>
      </c>
      <c r="W49" s="342"/>
      <c r="X49" s="342"/>
      <c r="Y49" s="342"/>
      <c r="Z49" s="342"/>
      <c r="AA49" s="342"/>
      <c r="AB49" s="314" t="s">
        <v>684</v>
      </c>
      <c r="AC49" s="335"/>
      <c r="AD49" s="335"/>
      <c r="AE49" s="335"/>
      <c r="AF49" s="281"/>
    </row>
    <row r="50" spans="1:32" s="289" customFormat="1" ht="102" customHeight="1">
      <c r="A50" s="339">
        <v>12</v>
      </c>
      <c r="B50" s="299" t="s">
        <v>681</v>
      </c>
      <c r="C50" s="331" t="s">
        <v>678</v>
      </c>
      <c r="D50" s="341" t="s">
        <v>682</v>
      </c>
      <c r="E50" s="341" t="s">
        <v>230</v>
      </c>
      <c r="F50" s="341" t="s">
        <v>683</v>
      </c>
      <c r="G50" s="103">
        <v>5133</v>
      </c>
      <c r="H50" s="103">
        <v>4337</v>
      </c>
      <c r="I50" s="342">
        <f>J50</f>
        <v>4337</v>
      </c>
      <c r="J50" s="342">
        <v>4337</v>
      </c>
      <c r="K50" s="106"/>
      <c r="L50" s="106"/>
      <c r="M50" s="342">
        <v>4337</v>
      </c>
      <c r="N50" s="342">
        <v>4337</v>
      </c>
      <c r="O50" s="342">
        <f>P50</f>
        <v>4097</v>
      </c>
      <c r="P50" s="342">
        <v>4097</v>
      </c>
      <c r="Q50" s="342">
        <f>R50</f>
        <v>4302</v>
      </c>
      <c r="R50" s="342">
        <f>P50+205</f>
        <v>4302</v>
      </c>
      <c r="S50" s="342">
        <f>T50</f>
        <v>4302</v>
      </c>
      <c r="T50" s="342">
        <f>R50</f>
        <v>4302</v>
      </c>
      <c r="U50" s="342">
        <f>V50</f>
        <v>4337</v>
      </c>
      <c r="V50" s="342">
        <v>4337</v>
      </c>
      <c r="W50" s="342"/>
      <c r="X50" s="342"/>
      <c r="Y50" s="342"/>
      <c r="Z50" s="342"/>
      <c r="AA50" s="342"/>
      <c r="AB50" s="314" t="s">
        <v>684</v>
      </c>
      <c r="AC50" s="335"/>
      <c r="AD50" s="335"/>
      <c r="AE50" s="335"/>
      <c r="AF50" s="281"/>
    </row>
    <row r="51" spans="1:32" s="289" customFormat="1" ht="93.75">
      <c r="A51" s="339">
        <v>13</v>
      </c>
      <c r="B51" s="322" t="s">
        <v>730</v>
      </c>
      <c r="C51" s="314" t="s">
        <v>210</v>
      </c>
      <c r="D51" s="314" t="s">
        <v>731</v>
      </c>
      <c r="E51" s="314" t="s">
        <v>732</v>
      </c>
      <c r="F51" s="314" t="s">
        <v>733</v>
      </c>
      <c r="G51" s="99">
        <v>43457</v>
      </c>
      <c r="H51" s="99">
        <v>34044</v>
      </c>
      <c r="I51" s="91">
        <v>21868</v>
      </c>
      <c r="J51" s="91">
        <v>21868</v>
      </c>
      <c r="K51" s="91">
        <v>0</v>
      </c>
      <c r="L51" s="91">
        <v>0</v>
      </c>
      <c r="M51" s="91">
        <v>0</v>
      </c>
      <c r="N51" s="91">
        <v>0</v>
      </c>
      <c r="O51" s="91">
        <v>0</v>
      </c>
      <c r="P51" s="91">
        <v>0</v>
      </c>
      <c r="Q51" s="91">
        <v>0</v>
      </c>
      <c r="R51" s="91">
        <v>0</v>
      </c>
      <c r="S51" s="91">
        <v>0</v>
      </c>
      <c r="T51" s="91">
        <v>0</v>
      </c>
      <c r="U51" s="91">
        <v>21868</v>
      </c>
      <c r="V51" s="91">
        <v>21868</v>
      </c>
      <c r="W51" s="91">
        <v>0</v>
      </c>
      <c r="X51" s="91">
        <v>0</v>
      </c>
      <c r="Y51" s="91">
        <v>0</v>
      </c>
      <c r="Z51" s="91">
        <v>0</v>
      </c>
      <c r="AA51" s="343"/>
      <c r="AB51" s="314" t="s">
        <v>761</v>
      </c>
      <c r="AC51" s="111">
        <v>0</v>
      </c>
      <c r="AD51" s="111">
        <v>0</v>
      </c>
      <c r="AE51" s="344"/>
      <c r="AF51" s="281"/>
    </row>
    <row r="52" spans="1:32" s="289" customFormat="1" ht="150">
      <c r="A52" s="339">
        <v>14</v>
      </c>
      <c r="B52" s="322" t="s">
        <v>734</v>
      </c>
      <c r="C52" s="314" t="s">
        <v>210</v>
      </c>
      <c r="D52" s="314" t="s">
        <v>735</v>
      </c>
      <c r="E52" s="314" t="s">
        <v>736</v>
      </c>
      <c r="F52" s="314" t="s">
        <v>737</v>
      </c>
      <c r="G52" s="99">
        <v>23056</v>
      </c>
      <c r="H52" s="99">
        <v>19137</v>
      </c>
      <c r="I52" s="91">
        <v>4298</v>
      </c>
      <c r="J52" s="91">
        <v>4298</v>
      </c>
      <c r="K52" s="91">
        <v>0</v>
      </c>
      <c r="L52" s="91">
        <v>0</v>
      </c>
      <c r="M52" s="91">
        <v>0</v>
      </c>
      <c r="N52" s="91">
        <v>0</v>
      </c>
      <c r="O52" s="91">
        <v>0</v>
      </c>
      <c r="P52" s="91">
        <v>0</v>
      </c>
      <c r="Q52" s="91">
        <v>0</v>
      </c>
      <c r="R52" s="91">
        <v>0</v>
      </c>
      <c r="S52" s="91">
        <v>0</v>
      </c>
      <c r="T52" s="91">
        <v>0</v>
      </c>
      <c r="U52" s="91">
        <v>4298</v>
      </c>
      <c r="V52" s="91">
        <v>4298</v>
      </c>
      <c r="W52" s="91">
        <v>0</v>
      </c>
      <c r="X52" s="91">
        <v>0</v>
      </c>
      <c r="Y52" s="91">
        <v>0</v>
      </c>
      <c r="Z52" s="91">
        <v>0</v>
      </c>
      <c r="AA52" s="343"/>
      <c r="AB52" s="314" t="s">
        <v>761</v>
      </c>
      <c r="AC52" s="111">
        <v>0</v>
      </c>
      <c r="AD52" s="111">
        <v>0</v>
      </c>
      <c r="AE52" s="344"/>
      <c r="AF52" s="281"/>
    </row>
    <row r="53" spans="1:32" s="289" customFormat="1" ht="168.75">
      <c r="A53" s="339">
        <v>15</v>
      </c>
      <c r="B53" s="322" t="s">
        <v>738</v>
      </c>
      <c r="C53" s="314" t="s">
        <v>210</v>
      </c>
      <c r="D53" s="314" t="s">
        <v>739</v>
      </c>
      <c r="E53" s="314" t="s">
        <v>736</v>
      </c>
      <c r="F53" s="314" t="s">
        <v>740</v>
      </c>
      <c r="G53" s="99">
        <v>32756</v>
      </c>
      <c r="H53" s="99">
        <v>25858</v>
      </c>
      <c r="I53" s="91">
        <v>1932</v>
      </c>
      <c r="J53" s="91">
        <v>1932</v>
      </c>
      <c r="K53" s="91">
        <v>0</v>
      </c>
      <c r="L53" s="91">
        <v>0</v>
      </c>
      <c r="M53" s="91">
        <v>0</v>
      </c>
      <c r="N53" s="91">
        <v>0</v>
      </c>
      <c r="O53" s="91">
        <v>0</v>
      </c>
      <c r="P53" s="91">
        <v>0</v>
      </c>
      <c r="Q53" s="91">
        <v>0</v>
      </c>
      <c r="R53" s="91">
        <v>0</v>
      </c>
      <c r="S53" s="91">
        <v>0</v>
      </c>
      <c r="T53" s="91">
        <v>0</v>
      </c>
      <c r="U53" s="91">
        <v>1932</v>
      </c>
      <c r="V53" s="91">
        <v>1932</v>
      </c>
      <c r="W53" s="91">
        <v>0</v>
      </c>
      <c r="X53" s="91">
        <v>0</v>
      </c>
      <c r="Y53" s="91">
        <v>0</v>
      </c>
      <c r="Z53" s="91">
        <v>0</v>
      </c>
      <c r="AA53" s="343"/>
      <c r="AB53" s="314" t="s">
        <v>761</v>
      </c>
      <c r="AC53" s="111">
        <v>0</v>
      </c>
      <c r="AD53" s="111">
        <v>0</v>
      </c>
      <c r="AE53" s="344"/>
      <c r="AF53" s="281"/>
    </row>
    <row r="54" spans="1:32" s="289" customFormat="1" ht="206.25">
      <c r="A54" s="339">
        <v>16</v>
      </c>
      <c r="B54" s="322" t="s">
        <v>741</v>
      </c>
      <c r="C54" s="314" t="s">
        <v>210</v>
      </c>
      <c r="D54" s="314" t="s">
        <v>742</v>
      </c>
      <c r="E54" s="93" t="s">
        <v>743</v>
      </c>
      <c r="F54" s="93" t="s">
        <v>744</v>
      </c>
      <c r="G54" s="99">
        <v>26353</v>
      </c>
      <c r="H54" s="99">
        <v>21779</v>
      </c>
      <c r="I54" s="91">
        <v>210</v>
      </c>
      <c r="J54" s="91">
        <v>210</v>
      </c>
      <c r="K54" s="91">
        <v>0</v>
      </c>
      <c r="L54" s="91">
        <v>0</v>
      </c>
      <c r="M54" s="91">
        <v>0</v>
      </c>
      <c r="N54" s="91">
        <v>0</v>
      </c>
      <c r="O54" s="91">
        <v>0</v>
      </c>
      <c r="P54" s="91">
        <v>0</v>
      </c>
      <c r="Q54" s="91">
        <v>0</v>
      </c>
      <c r="R54" s="91">
        <v>0</v>
      </c>
      <c r="S54" s="91">
        <v>0</v>
      </c>
      <c r="T54" s="91">
        <v>0</v>
      </c>
      <c r="U54" s="91">
        <v>210</v>
      </c>
      <c r="V54" s="91">
        <v>210</v>
      </c>
      <c r="W54" s="91">
        <v>0</v>
      </c>
      <c r="X54" s="91">
        <v>0</v>
      </c>
      <c r="Y54" s="91">
        <v>0</v>
      </c>
      <c r="Z54" s="91">
        <v>0</v>
      </c>
      <c r="AA54" s="343"/>
      <c r="AB54" s="314" t="s">
        <v>761</v>
      </c>
      <c r="AC54" s="111">
        <v>0</v>
      </c>
      <c r="AD54" s="111">
        <v>0</v>
      </c>
      <c r="AE54" s="344"/>
      <c r="AF54" s="281"/>
    </row>
    <row r="55" spans="1:32" s="289" customFormat="1" ht="112.5" customHeight="1">
      <c r="A55" s="339">
        <v>17</v>
      </c>
      <c r="B55" s="322" t="s">
        <v>745</v>
      </c>
      <c r="C55" s="314" t="s">
        <v>210</v>
      </c>
      <c r="D55" s="314" t="s">
        <v>746</v>
      </c>
      <c r="E55" s="314" t="s">
        <v>252</v>
      </c>
      <c r="F55" s="345" t="s">
        <v>747</v>
      </c>
      <c r="G55" s="99">
        <v>23670</v>
      </c>
      <c r="H55" s="97">
        <v>17179</v>
      </c>
      <c r="I55" s="91">
        <v>15461</v>
      </c>
      <c r="J55" s="91">
        <v>15461</v>
      </c>
      <c r="K55" s="91">
        <v>0</v>
      </c>
      <c r="L55" s="91">
        <v>0</v>
      </c>
      <c r="M55" s="91">
        <v>0</v>
      </c>
      <c r="N55" s="91">
        <v>0</v>
      </c>
      <c r="O55" s="91">
        <v>0</v>
      </c>
      <c r="P55" s="91">
        <v>0</v>
      </c>
      <c r="Q55" s="91">
        <v>0</v>
      </c>
      <c r="R55" s="91">
        <v>0</v>
      </c>
      <c r="S55" s="91">
        <v>0</v>
      </c>
      <c r="T55" s="91">
        <v>0</v>
      </c>
      <c r="U55" s="91">
        <v>15461</v>
      </c>
      <c r="V55" s="91">
        <v>15461</v>
      </c>
      <c r="W55" s="91">
        <v>0</v>
      </c>
      <c r="X55" s="91">
        <v>0</v>
      </c>
      <c r="Y55" s="91">
        <v>0</v>
      </c>
      <c r="Z55" s="91">
        <v>0</v>
      </c>
      <c r="AA55" s="313" t="s">
        <v>748</v>
      </c>
      <c r="AB55" s="314" t="s">
        <v>761</v>
      </c>
      <c r="AC55" s="111">
        <v>0</v>
      </c>
      <c r="AD55" s="111">
        <v>0</v>
      </c>
      <c r="AE55" s="346" t="s">
        <v>748</v>
      </c>
      <c r="AF55" s="281"/>
    </row>
    <row r="56" spans="1:32" s="289" customFormat="1" ht="108.75" customHeight="1">
      <c r="A56" s="339">
        <v>18</v>
      </c>
      <c r="B56" s="322" t="s">
        <v>749</v>
      </c>
      <c r="C56" s="314" t="s">
        <v>210</v>
      </c>
      <c r="D56" s="314" t="s">
        <v>746</v>
      </c>
      <c r="E56" s="314" t="s">
        <v>252</v>
      </c>
      <c r="F56" s="314" t="s">
        <v>750</v>
      </c>
      <c r="G56" s="99">
        <v>19923</v>
      </c>
      <c r="H56" s="99">
        <v>15183</v>
      </c>
      <c r="I56" s="91">
        <f>13665+1162</f>
        <v>14827</v>
      </c>
      <c r="J56" s="91">
        <f>13665+1162</f>
        <v>14827</v>
      </c>
      <c r="K56" s="91">
        <v>0</v>
      </c>
      <c r="L56" s="91">
        <v>0</v>
      </c>
      <c r="M56" s="91"/>
      <c r="N56" s="91"/>
      <c r="O56" s="91"/>
      <c r="P56" s="91"/>
      <c r="Q56" s="91"/>
      <c r="R56" s="91"/>
      <c r="S56" s="91"/>
      <c r="T56" s="91"/>
      <c r="U56" s="91">
        <v>13665</v>
      </c>
      <c r="V56" s="91">
        <v>13665</v>
      </c>
      <c r="W56" s="91">
        <v>1162</v>
      </c>
      <c r="X56" s="91">
        <v>1162</v>
      </c>
      <c r="Y56" s="91">
        <v>0</v>
      </c>
      <c r="Z56" s="91">
        <v>0</v>
      </c>
      <c r="AA56" s="313" t="s">
        <v>751</v>
      </c>
      <c r="AB56" s="314" t="s">
        <v>761</v>
      </c>
      <c r="AC56" s="111">
        <v>0</v>
      </c>
      <c r="AD56" s="111">
        <v>0</v>
      </c>
      <c r="AE56" s="346" t="s">
        <v>751</v>
      </c>
      <c r="AF56" s="281"/>
    </row>
    <row r="57" spans="1:32" s="289" customFormat="1" ht="102.75" customHeight="1">
      <c r="A57" s="339">
        <v>19</v>
      </c>
      <c r="B57" s="322" t="s">
        <v>752</v>
      </c>
      <c r="C57" s="314" t="s">
        <v>210</v>
      </c>
      <c r="D57" s="314" t="s">
        <v>753</v>
      </c>
      <c r="E57" s="314" t="s">
        <v>230</v>
      </c>
      <c r="F57" s="314" t="s">
        <v>754</v>
      </c>
      <c r="G57" s="99">
        <v>22692</v>
      </c>
      <c r="H57" s="99">
        <v>17680</v>
      </c>
      <c r="I57" s="91">
        <v>17680</v>
      </c>
      <c r="J57" s="91">
        <v>17680</v>
      </c>
      <c r="K57" s="91">
        <v>0</v>
      </c>
      <c r="L57" s="91">
        <v>0</v>
      </c>
      <c r="M57" s="91">
        <v>1467</v>
      </c>
      <c r="N57" s="91">
        <v>1467</v>
      </c>
      <c r="O57" s="91">
        <v>724</v>
      </c>
      <c r="P57" s="91">
        <v>724</v>
      </c>
      <c r="Q57" s="91">
        <v>1174</v>
      </c>
      <c r="R57" s="91">
        <v>1174</v>
      </c>
      <c r="S57" s="91">
        <v>1467</v>
      </c>
      <c r="T57" s="91">
        <v>1467</v>
      </c>
      <c r="U57" s="91">
        <v>17680</v>
      </c>
      <c r="V57" s="91">
        <v>17680</v>
      </c>
      <c r="W57" s="91">
        <v>0</v>
      </c>
      <c r="X57" s="91">
        <v>0</v>
      </c>
      <c r="Y57" s="91">
        <v>0</v>
      </c>
      <c r="Z57" s="91">
        <v>0</v>
      </c>
      <c r="AA57" s="343"/>
      <c r="AB57" s="314" t="s">
        <v>761</v>
      </c>
      <c r="AC57" s="111">
        <v>0</v>
      </c>
      <c r="AD57" s="111">
        <v>0</v>
      </c>
      <c r="AE57" s="344"/>
      <c r="AF57" s="281"/>
    </row>
    <row r="58" spans="1:32" s="289" customFormat="1" ht="131.25">
      <c r="A58" s="339">
        <v>20</v>
      </c>
      <c r="B58" s="322" t="s">
        <v>755</v>
      </c>
      <c r="C58" s="314" t="s">
        <v>210</v>
      </c>
      <c r="D58" s="314" t="s">
        <v>756</v>
      </c>
      <c r="E58" s="314" t="s">
        <v>252</v>
      </c>
      <c r="F58" s="314" t="s">
        <v>757</v>
      </c>
      <c r="G58" s="99">
        <v>4402</v>
      </c>
      <c r="H58" s="99">
        <v>3367</v>
      </c>
      <c r="I58" s="91">
        <v>3353</v>
      </c>
      <c r="J58" s="91">
        <v>3353</v>
      </c>
      <c r="K58" s="91">
        <v>0</v>
      </c>
      <c r="L58" s="91">
        <v>0</v>
      </c>
      <c r="M58" s="91">
        <v>0</v>
      </c>
      <c r="N58" s="91">
        <v>0</v>
      </c>
      <c r="O58" s="91">
        <v>0</v>
      </c>
      <c r="P58" s="91">
        <v>0</v>
      </c>
      <c r="Q58" s="91">
        <v>0</v>
      </c>
      <c r="R58" s="91">
        <v>0</v>
      </c>
      <c r="S58" s="91">
        <v>0</v>
      </c>
      <c r="T58" s="91">
        <v>0</v>
      </c>
      <c r="U58" s="91">
        <v>3353</v>
      </c>
      <c r="V58" s="91">
        <v>3353</v>
      </c>
      <c r="W58" s="91">
        <v>0</v>
      </c>
      <c r="X58" s="91">
        <v>0</v>
      </c>
      <c r="Y58" s="91">
        <v>0</v>
      </c>
      <c r="Z58" s="91">
        <v>0</v>
      </c>
      <c r="AA58" s="343"/>
      <c r="AB58" s="314" t="s">
        <v>761</v>
      </c>
      <c r="AC58" s="111">
        <v>0</v>
      </c>
      <c r="AD58" s="111">
        <v>0</v>
      </c>
      <c r="AE58" s="344"/>
      <c r="AF58" s="281"/>
    </row>
    <row r="59" spans="1:32" s="289" customFormat="1" ht="56.25">
      <c r="A59" s="339">
        <v>21</v>
      </c>
      <c r="B59" s="322" t="s">
        <v>758</v>
      </c>
      <c r="C59" s="314" t="s">
        <v>210</v>
      </c>
      <c r="D59" s="314" t="s">
        <v>759</v>
      </c>
      <c r="E59" s="314" t="s">
        <v>230</v>
      </c>
      <c r="F59" s="314" t="s">
        <v>760</v>
      </c>
      <c r="G59" s="99">
        <v>29057</v>
      </c>
      <c r="H59" s="99">
        <v>22388</v>
      </c>
      <c r="I59" s="91">
        <v>20246</v>
      </c>
      <c r="J59" s="91">
        <v>20246</v>
      </c>
      <c r="K59" s="91">
        <v>0</v>
      </c>
      <c r="L59" s="91">
        <v>0</v>
      </c>
      <c r="M59" s="91">
        <v>2987</v>
      </c>
      <c r="N59" s="91">
        <v>2987</v>
      </c>
      <c r="O59" s="91">
        <v>2987</v>
      </c>
      <c r="P59" s="91">
        <v>2987</v>
      </c>
      <c r="Q59" s="91">
        <v>2987</v>
      </c>
      <c r="R59" s="91">
        <v>2987</v>
      </c>
      <c r="S59" s="91">
        <v>2987</v>
      </c>
      <c r="T59" s="91">
        <v>2987</v>
      </c>
      <c r="U59" s="91">
        <v>20246</v>
      </c>
      <c r="V59" s="91">
        <v>20246</v>
      </c>
      <c r="W59" s="91">
        <v>0</v>
      </c>
      <c r="X59" s="91">
        <v>0</v>
      </c>
      <c r="Y59" s="91">
        <v>0</v>
      </c>
      <c r="Z59" s="91">
        <v>0</v>
      </c>
      <c r="AA59" s="343"/>
      <c r="AB59" s="314" t="s">
        <v>761</v>
      </c>
      <c r="AC59" s="111">
        <v>0</v>
      </c>
      <c r="AD59" s="111">
        <v>0</v>
      </c>
      <c r="AE59" s="344"/>
      <c r="AF59" s="281"/>
    </row>
    <row r="60" spans="1:32" s="289" customFormat="1" ht="116.25" customHeight="1">
      <c r="A60" s="339">
        <v>22</v>
      </c>
      <c r="B60" s="322" t="s">
        <v>928</v>
      </c>
      <c r="C60" s="314" t="s">
        <v>445</v>
      </c>
      <c r="D60" s="314" t="s">
        <v>929</v>
      </c>
      <c r="E60" s="314" t="s">
        <v>613</v>
      </c>
      <c r="F60" s="314" t="s">
        <v>930</v>
      </c>
      <c r="G60" s="99">
        <v>8422</v>
      </c>
      <c r="H60" s="99">
        <v>6453</v>
      </c>
      <c r="I60" s="91">
        <v>6453</v>
      </c>
      <c r="J60" s="91">
        <v>6453</v>
      </c>
      <c r="K60" s="91"/>
      <c r="L60" s="91"/>
      <c r="M60" s="91">
        <v>751</v>
      </c>
      <c r="N60" s="91">
        <v>751</v>
      </c>
      <c r="O60" s="91">
        <v>331</v>
      </c>
      <c r="P60" s="91">
        <v>331</v>
      </c>
      <c r="Q60" s="91">
        <v>525.70000000000005</v>
      </c>
      <c r="R60" s="91">
        <v>525.70000000000005</v>
      </c>
      <c r="S60" s="91">
        <v>751</v>
      </c>
      <c r="T60" s="91">
        <v>751</v>
      </c>
      <c r="U60" s="91">
        <v>6453</v>
      </c>
      <c r="V60" s="91">
        <v>6453</v>
      </c>
      <c r="W60" s="91">
        <v>0</v>
      </c>
      <c r="X60" s="91"/>
      <c r="Y60" s="91"/>
      <c r="Z60" s="91"/>
      <c r="AA60" s="343"/>
      <c r="AB60" s="314" t="s">
        <v>955</v>
      </c>
      <c r="AC60" s="133"/>
      <c r="AD60" s="133"/>
      <c r="AE60" s="283"/>
      <c r="AF60" s="281"/>
    </row>
    <row r="61" spans="1:32" s="289" customFormat="1" ht="173.25" customHeight="1">
      <c r="A61" s="339">
        <v>23</v>
      </c>
      <c r="B61" s="322" t="s">
        <v>931</v>
      </c>
      <c r="C61" s="314" t="s">
        <v>445</v>
      </c>
      <c r="D61" s="314" t="s">
        <v>932</v>
      </c>
      <c r="E61" s="314" t="s">
        <v>316</v>
      </c>
      <c r="F61" s="314" t="s">
        <v>933</v>
      </c>
      <c r="G61" s="99">
        <v>28959</v>
      </c>
      <c r="H61" s="99">
        <v>22371</v>
      </c>
      <c r="I61" s="91">
        <v>22371</v>
      </c>
      <c r="J61" s="91">
        <v>22371</v>
      </c>
      <c r="K61" s="91"/>
      <c r="L61" s="91"/>
      <c r="M61" s="91">
        <v>1429</v>
      </c>
      <c r="N61" s="91">
        <v>1429</v>
      </c>
      <c r="O61" s="91">
        <v>1429</v>
      </c>
      <c r="P61" s="91">
        <v>1429</v>
      </c>
      <c r="Q61" s="91">
        <v>1000.3</v>
      </c>
      <c r="R61" s="91">
        <v>1000.3</v>
      </c>
      <c r="S61" s="91">
        <v>1429</v>
      </c>
      <c r="T61" s="91">
        <v>1429</v>
      </c>
      <c r="U61" s="91">
        <v>12700</v>
      </c>
      <c r="V61" s="91">
        <v>12700</v>
      </c>
      <c r="W61" s="91">
        <v>0</v>
      </c>
      <c r="X61" s="91"/>
      <c r="Y61" s="91"/>
      <c r="Z61" s="91"/>
      <c r="AA61" s="343"/>
      <c r="AB61" s="314" t="s">
        <v>955</v>
      </c>
      <c r="AC61" s="133"/>
      <c r="AD61" s="133"/>
      <c r="AE61" s="283"/>
      <c r="AF61" s="281"/>
    </row>
    <row r="62" spans="1:32" s="289" customFormat="1" ht="133.5" customHeight="1">
      <c r="A62" s="339">
        <v>24</v>
      </c>
      <c r="B62" s="322" t="s">
        <v>934</v>
      </c>
      <c r="C62" s="314" t="s">
        <v>445</v>
      </c>
      <c r="D62" s="314" t="s">
        <v>935</v>
      </c>
      <c r="E62" s="314" t="s">
        <v>316</v>
      </c>
      <c r="F62" s="314" t="s">
        <v>936</v>
      </c>
      <c r="G62" s="99">
        <v>28762</v>
      </c>
      <c r="H62" s="99">
        <v>22256</v>
      </c>
      <c r="I62" s="91">
        <v>21777</v>
      </c>
      <c r="J62" s="91">
        <v>21777</v>
      </c>
      <c r="K62" s="91"/>
      <c r="L62" s="91"/>
      <c r="M62" s="91">
        <v>287</v>
      </c>
      <c r="N62" s="91">
        <v>287</v>
      </c>
      <c r="O62" s="91">
        <v>0</v>
      </c>
      <c r="P62" s="91"/>
      <c r="Q62" s="91">
        <v>200.9</v>
      </c>
      <c r="R62" s="91">
        <v>200.9</v>
      </c>
      <c r="S62" s="91">
        <v>287</v>
      </c>
      <c r="T62" s="91">
        <v>287</v>
      </c>
      <c r="U62" s="91">
        <v>11000</v>
      </c>
      <c r="V62" s="91">
        <v>11000</v>
      </c>
      <c r="W62" s="91">
        <v>0</v>
      </c>
      <c r="X62" s="91"/>
      <c r="Y62" s="91"/>
      <c r="Z62" s="91"/>
      <c r="AA62" s="343"/>
      <c r="AB62" s="314" t="s">
        <v>955</v>
      </c>
      <c r="AC62" s="133"/>
      <c r="AD62" s="133"/>
      <c r="AE62" s="283"/>
      <c r="AF62" s="281"/>
    </row>
    <row r="63" spans="1:32" s="289" customFormat="1" ht="112.5">
      <c r="A63" s="339">
        <v>25</v>
      </c>
      <c r="B63" s="322" t="s">
        <v>937</v>
      </c>
      <c r="C63" s="314" t="s">
        <v>445</v>
      </c>
      <c r="D63" s="314" t="s">
        <v>938</v>
      </c>
      <c r="E63" s="314" t="s">
        <v>316</v>
      </c>
      <c r="F63" s="314" t="s">
        <v>939</v>
      </c>
      <c r="G63" s="99">
        <v>26818</v>
      </c>
      <c r="H63" s="99">
        <v>20847</v>
      </c>
      <c r="I63" s="91">
        <v>19929</v>
      </c>
      <c r="J63" s="91">
        <v>19929</v>
      </c>
      <c r="K63" s="91"/>
      <c r="L63" s="91"/>
      <c r="M63" s="91">
        <v>1410</v>
      </c>
      <c r="N63" s="91">
        <v>1410</v>
      </c>
      <c r="O63" s="91">
        <v>1410</v>
      </c>
      <c r="P63" s="91">
        <v>1410</v>
      </c>
      <c r="Q63" s="91">
        <v>987</v>
      </c>
      <c r="R63" s="91">
        <v>987</v>
      </c>
      <c r="S63" s="91">
        <v>1410</v>
      </c>
      <c r="T63" s="91">
        <v>1410</v>
      </c>
      <c r="U63" s="91">
        <v>13500</v>
      </c>
      <c r="V63" s="91">
        <v>13500</v>
      </c>
      <c r="W63" s="91">
        <v>0</v>
      </c>
      <c r="X63" s="91"/>
      <c r="Y63" s="91"/>
      <c r="Z63" s="91"/>
      <c r="AA63" s="343"/>
      <c r="AB63" s="314" t="s">
        <v>955</v>
      </c>
      <c r="AC63" s="133"/>
      <c r="AD63" s="133"/>
      <c r="AE63" s="283"/>
      <c r="AF63" s="281"/>
    </row>
    <row r="64" spans="1:32" s="289" customFormat="1" ht="112.5">
      <c r="A64" s="339">
        <v>26</v>
      </c>
      <c r="B64" s="322" t="s">
        <v>940</v>
      </c>
      <c r="C64" s="314" t="s">
        <v>445</v>
      </c>
      <c r="D64" s="314" t="s">
        <v>941</v>
      </c>
      <c r="E64" s="314" t="s">
        <v>316</v>
      </c>
      <c r="F64" s="314" t="s">
        <v>942</v>
      </c>
      <c r="G64" s="99">
        <v>23842</v>
      </c>
      <c r="H64" s="99">
        <v>18313</v>
      </c>
      <c r="I64" s="91">
        <v>27946</v>
      </c>
      <c r="J64" s="91">
        <v>27946</v>
      </c>
      <c r="K64" s="91"/>
      <c r="L64" s="91"/>
      <c r="M64" s="91">
        <v>1043</v>
      </c>
      <c r="N64" s="91">
        <v>1043</v>
      </c>
      <c r="O64" s="91">
        <v>0</v>
      </c>
      <c r="P64" s="91"/>
      <c r="Q64" s="91">
        <v>730.1</v>
      </c>
      <c r="R64" s="91">
        <v>730.1</v>
      </c>
      <c r="S64" s="91">
        <v>1043</v>
      </c>
      <c r="T64" s="91">
        <v>1043</v>
      </c>
      <c r="U64" s="91">
        <v>16400</v>
      </c>
      <c r="V64" s="91">
        <v>16400</v>
      </c>
      <c r="W64" s="91">
        <v>0</v>
      </c>
      <c r="X64" s="91"/>
      <c r="Y64" s="91"/>
      <c r="Z64" s="91"/>
      <c r="AA64" s="343"/>
      <c r="AB64" s="314" t="s">
        <v>955</v>
      </c>
      <c r="AC64" s="133"/>
      <c r="AD64" s="133"/>
      <c r="AE64" s="283"/>
      <c r="AF64" s="281"/>
    </row>
    <row r="65" spans="1:32" s="289" customFormat="1" ht="56.25">
      <c r="A65" s="339">
        <v>27</v>
      </c>
      <c r="B65" s="322" t="s">
        <v>943</v>
      </c>
      <c r="C65" s="314" t="s">
        <v>445</v>
      </c>
      <c r="D65" s="314" t="s">
        <v>944</v>
      </c>
      <c r="E65" s="314" t="s">
        <v>230</v>
      </c>
      <c r="F65" s="314" t="s">
        <v>945</v>
      </c>
      <c r="G65" s="99">
        <v>22418</v>
      </c>
      <c r="H65" s="99">
        <v>17214</v>
      </c>
      <c r="I65" s="91">
        <v>15493</v>
      </c>
      <c r="J65" s="91">
        <v>15493</v>
      </c>
      <c r="K65" s="91"/>
      <c r="L65" s="91"/>
      <c r="M65" s="91">
        <v>11020</v>
      </c>
      <c r="N65" s="91">
        <v>11020</v>
      </c>
      <c r="O65" s="91">
        <v>1521</v>
      </c>
      <c r="P65" s="91">
        <v>1521</v>
      </c>
      <c r="Q65" s="91">
        <v>7714</v>
      </c>
      <c r="R65" s="91">
        <v>7714</v>
      </c>
      <c r="S65" s="91">
        <v>11020</v>
      </c>
      <c r="T65" s="91">
        <v>11020</v>
      </c>
      <c r="U65" s="91">
        <v>15441</v>
      </c>
      <c r="V65" s="91">
        <v>15441</v>
      </c>
      <c r="W65" s="91">
        <v>0</v>
      </c>
      <c r="X65" s="91"/>
      <c r="Y65" s="91"/>
      <c r="Z65" s="91"/>
      <c r="AA65" s="343"/>
      <c r="AB65" s="314" t="s">
        <v>955</v>
      </c>
      <c r="AC65" s="133"/>
      <c r="AD65" s="133"/>
      <c r="AE65" s="283"/>
      <c r="AF65" s="281"/>
    </row>
    <row r="66" spans="1:32" s="289" customFormat="1" ht="116.25" customHeight="1">
      <c r="A66" s="339">
        <v>28</v>
      </c>
      <c r="B66" s="322" t="s">
        <v>946</v>
      </c>
      <c r="C66" s="314" t="s">
        <v>445</v>
      </c>
      <c r="D66" s="314" t="s">
        <v>947</v>
      </c>
      <c r="E66" s="314" t="s">
        <v>316</v>
      </c>
      <c r="F66" s="314" t="s">
        <v>948</v>
      </c>
      <c r="G66" s="99">
        <v>23617</v>
      </c>
      <c r="H66" s="99">
        <v>18586</v>
      </c>
      <c r="I66" s="91">
        <v>16756</v>
      </c>
      <c r="J66" s="91">
        <v>16756</v>
      </c>
      <c r="K66" s="91"/>
      <c r="L66" s="91"/>
      <c r="M66" s="91">
        <v>547</v>
      </c>
      <c r="N66" s="91">
        <v>547</v>
      </c>
      <c r="O66" s="91">
        <v>0</v>
      </c>
      <c r="P66" s="91"/>
      <c r="Q66" s="91">
        <v>382.9</v>
      </c>
      <c r="R66" s="91">
        <v>382.9</v>
      </c>
      <c r="S66" s="91">
        <v>547</v>
      </c>
      <c r="T66" s="91">
        <v>547</v>
      </c>
      <c r="U66" s="91">
        <v>13100</v>
      </c>
      <c r="V66" s="91">
        <v>13100</v>
      </c>
      <c r="W66" s="91">
        <v>0</v>
      </c>
      <c r="X66" s="91"/>
      <c r="Y66" s="91"/>
      <c r="Z66" s="91"/>
      <c r="AA66" s="343"/>
      <c r="AB66" s="314" t="s">
        <v>955</v>
      </c>
      <c r="AC66" s="133"/>
      <c r="AD66" s="133"/>
      <c r="AE66" s="283"/>
      <c r="AF66" s="281"/>
    </row>
    <row r="67" spans="1:32" s="289" customFormat="1" ht="56.25">
      <c r="A67" s="339">
        <v>29</v>
      </c>
      <c r="B67" s="322" t="s">
        <v>949</v>
      </c>
      <c r="C67" s="314" t="s">
        <v>445</v>
      </c>
      <c r="D67" s="314" t="s">
        <v>950</v>
      </c>
      <c r="E67" s="314" t="s">
        <v>316</v>
      </c>
      <c r="F67" s="314" t="s">
        <v>951</v>
      </c>
      <c r="G67" s="99">
        <v>12150</v>
      </c>
      <c r="H67" s="99">
        <v>10263</v>
      </c>
      <c r="I67" s="91">
        <v>12095</v>
      </c>
      <c r="J67" s="91">
        <v>12095</v>
      </c>
      <c r="K67" s="91"/>
      <c r="L67" s="91"/>
      <c r="M67" s="91">
        <v>9263</v>
      </c>
      <c r="N67" s="91">
        <v>9263</v>
      </c>
      <c r="O67" s="91">
        <v>0</v>
      </c>
      <c r="P67" s="91"/>
      <c r="Q67" s="91">
        <v>6484.1</v>
      </c>
      <c r="R67" s="91">
        <v>6484.1</v>
      </c>
      <c r="S67" s="91">
        <v>9263</v>
      </c>
      <c r="T67" s="91">
        <v>9263</v>
      </c>
      <c r="U67" s="91">
        <v>10263</v>
      </c>
      <c r="V67" s="91">
        <v>10263</v>
      </c>
      <c r="W67" s="91">
        <v>0</v>
      </c>
      <c r="X67" s="91"/>
      <c r="Y67" s="91"/>
      <c r="Z67" s="91"/>
      <c r="AA67" s="343"/>
      <c r="AB67" s="314" t="s">
        <v>955</v>
      </c>
      <c r="AC67" s="133"/>
      <c r="AD67" s="133"/>
      <c r="AE67" s="283"/>
      <c r="AF67" s="281"/>
    </row>
    <row r="68" spans="1:32" s="289" customFormat="1" ht="93.75">
      <c r="A68" s="339">
        <v>30</v>
      </c>
      <c r="B68" s="322" t="s">
        <v>952</v>
      </c>
      <c r="C68" s="314" t="s">
        <v>445</v>
      </c>
      <c r="D68" s="314" t="s">
        <v>953</v>
      </c>
      <c r="E68" s="314" t="s">
        <v>316</v>
      </c>
      <c r="F68" s="314" t="s">
        <v>954</v>
      </c>
      <c r="G68" s="99">
        <v>21508</v>
      </c>
      <c r="H68" s="99">
        <v>16648</v>
      </c>
      <c r="I68" s="91">
        <v>15015</v>
      </c>
      <c r="J68" s="91">
        <v>15015</v>
      </c>
      <c r="K68" s="91"/>
      <c r="L68" s="91"/>
      <c r="M68" s="91">
        <v>294</v>
      </c>
      <c r="N68" s="91">
        <v>294</v>
      </c>
      <c r="O68" s="91">
        <v>0</v>
      </c>
      <c r="P68" s="91"/>
      <c r="Q68" s="91">
        <v>205.8</v>
      </c>
      <c r="R68" s="91">
        <v>205.8</v>
      </c>
      <c r="S68" s="91">
        <v>294</v>
      </c>
      <c r="T68" s="91">
        <v>294</v>
      </c>
      <c r="U68" s="91">
        <v>13000</v>
      </c>
      <c r="V68" s="91">
        <v>13000</v>
      </c>
      <c r="W68" s="91">
        <v>0</v>
      </c>
      <c r="X68" s="91"/>
      <c r="Y68" s="91"/>
      <c r="Z68" s="91"/>
      <c r="AA68" s="343"/>
      <c r="AB68" s="314" t="s">
        <v>955</v>
      </c>
      <c r="AC68" s="133"/>
      <c r="AD68" s="133"/>
      <c r="AE68" s="283"/>
      <c r="AF68" s="281"/>
    </row>
    <row r="69" spans="1:32" s="289" customFormat="1" ht="168.75">
      <c r="A69" s="339">
        <v>31</v>
      </c>
      <c r="B69" s="322" t="s">
        <v>1011</v>
      </c>
      <c r="C69" s="314" t="s">
        <v>1012</v>
      </c>
      <c r="D69" s="314" t="s">
        <v>1013</v>
      </c>
      <c r="E69" s="314" t="s">
        <v>312</v>
      </c>
      <c r="F69" s="314" t="s">
        <v>1014</v>
      </c>
      <c r="G69" s="99">
        <v>3495</v>
      </c>
      <c r="H69" s="99">
        <v>2649</v>
      </c>
      <c r="I69" s="91">
        <v>2462</v>
      </c>
      <c r="J69" s="91">
        <v>2462</v>
      </c>
      <c r="K69" s="91"/>
      <c r="L69" s="91"/>
      <c r="M69" s="91">
        <v>1500</v>
      </c>
      <c r="N69" s="91">
        <v>1500</v>
      </c>
      <c r="O69" s="91">
        <v>900</v>
      </c>
      <c r="P69" s="91">
        <v>900</v>
      </c>
      <c r="Q69" s="91">
        <v>1500</v>
      </c>
      <c r="R69" s="91">
        <v>1500</v>
      </c>
      <c r="S69" s="91">
        <v>2288</v>
      </c>
      <c r="T69" s="91">
        <v>2288</v>
      </c>
      <c r="U69" s="91">
        <v>1500</v>
      </c>
      <c r="V69" s="91">
        <v>1500</v>
      </c>
      <c r="W69" s="91">
        <v>0</v>
      </c>
      <c r="X69" s="91">
        <v>0</v>
      </c>
      <c r="Y69" s="91"/>
      <c r="Z69" s="91"/>
      <c r="AA69" s="343"/>
      <c r="AB69" s="314" t="s">
        <v>1002</v>
      </c>
      <c r="AC69" s="133"/>
      <c r="AD69" s="133"/>
      <c r="AE69" s="283"/>
      <c r="AF69" s="281"/>
    </row>
    <row r="70" spans="1:32" s="289" customFormat="1" ht="56.25">
      <c r="A70" s="339">
        <v>32</v>
      </c>
      <c r="B70" s="322" t="s">
        <v>1015</v>
      </c>
      <c r="C70" s="314" t="s">
        <v>1016</v>
      </c>
      <c r="D70" s="314" t="s">
        <v>1017</v>
      </c>
      <c r="E70" s="314" t="s">
        <v>230</v>
      </c>
      <c r="F70" s="314" t="s">
        <v>1018</v>
      </c>
      <c r="G70" s="99">
        <v>32129</v>
      </c>
      <c r="H70" s="99">
        <v>22732</v>
      </c>
      <c r="I70" s="91">
        <v>22732</v>
      </c>
      <c r="J70" s="91">
        <v>22732</v>
      </c>
      <c r="K70" s="91"/>
      <c r="L70" s="91"/>
      <c r="M70" s="91">
        <v>10000</v>
      </c>
      <c r="N70" s="91">
        <v>10000</v>
      </c>
      <c r="O70" s="91">
        <v>2458</v>
      </c>
      <c r="P70" s="91">
        <v>2458</v>
      </c>
      <c r="Q70" s="91">
        <v>5000</v>
      </c>
      <c r="R70" s="91">
        <v>5000</v>
      </c>
      <c r="S70" s="91">
        <v>7000</v>
      </c>
      <c r="T70" s="91">
        <v>7000</v>
      </c>
      <c r="U70" s="91">
        <v>14852</v>
      </c>
      <c r="V70" s="91">
        <v>14852</v>
      </c>
      <c r="W70" s="91">
        <v>6890</v>
      </c>
      <c r="X70" s="91">
        <v>6890</v>
      </c>
      <c r="Y70" s="91"/>
      <c r="Z70" s="91"/>
      <c r="AA70" s="343"/>
      <c r="AB70" s="314" t="s">
        <v>1002</v>
      </c>
      <c r="AC70" s="133"/>
      <c r="AD70" s="133"/>
      <c r="AE70" s="283"/>
      <c r="AF70" s="281"/>
    </row>
    <row r="71" spans="1:32" s="289" customFormat="1" ht="36.75" customHeight="1">
      <c r="A71" s="303" t="s">
        <v>41</v>
      </c>
      <c r="B71" s="304" t="s">
        <v>109</v>
      </c>
      <c r="C71" s="314"/>
      <c r="D71" s="347"/>
      <c r="E71" s="347"/>
      <c r="F71" s="347"/>
      <c r="G71" s="348">
        <f t="shared" ref="G71:Z71" si="21">G72+G79</f>
        <v>1599025</v>
      </c>
      <c r="H71" s="348">
        <f t="shared" si="21"/>
        <v>1259076</v>
      </c>
      <c r="I71" s="348">
        <f t="shared" si="21"/>
        <v>810099.67819743499</v>
      </c>
      <c r="J71" s="348">
        <f t="shared" si="21"/>
        <v>909329.67819743499</v>
      </c>
      <c r="K71" s="348">
        <f t="shared" si="21"/>
        <v>0</v>
      </c>
      <c r="L71" s="348">
        <f t="shared" si="21"/>
        <v>0</v>
      </c>
      <c r="M71" s="348">
        <f t="shared" si="21"/>
        <v>374218</v>
      </c>
      <c r="N71" s="348">
        <f t="shared" si="21"/>
        <v>364547</v>
      </c>
      <c r="O71" s="348">
        <f t="shared" si="21"/>
        <v>41391.345000000001</v>
      </c>
      <c r="P71" s="348">
        <f t="shared" si="21"/>
        <v>41057.5</v>
      </c>
      <c r="Q71" s="348">
        <f t="shared" si="21"/>
        <v>175599.845</v>
      </c>
      <c r="R71" s="348">
        <f t="shared" si="21"/>
        <v>169984</v>
      </c>
      <c r="S71" s="348">
        <f t="shared" si="21"/>
        <v>329718</v>
      </c>
      <c r="T71" s="348">
        <f t="shared" si="21"/>
        <v>320047</v>
      </c>
      <c r="U71" s="348">
        <f t="shared" si="21"/>
        <v>423115</v>
      </c>
      <c r="V71" s="348">
        <f t="shared" si="21"/>
        <v>408447</v>
      </c>
      <c r="W71" s="348">
        <f t="shared" si="21"/>
        <v>432849</v>
      </c>
      <c r="X71" s="348">
        <f t="shared" si="21"/>
        <v>429597</v>
      </c>
      <c r="Y71" s="348">
        <f t="shared" si="21"/>
        <v>0</v>
      </c>
      <c r="Z71" s="348">
        <f t="shared" si="21"/>
        <v>0</v>
      </c>
      <c r="AA71" s="315"/>
      <c r="AB71" s="299"/>
    </row>
    <row r="72" spans="1:32" s="289" customFormat="1" ht="19.5">
      <c r="A72" s="307" t="s">
        <v>46</v>
      </c>
      <c r="B72" s="308" t="s">
        <v>18</v>
      </c>
      <c r="C72" s="314"/>
      <c r="D72" s="347"/>
      <c r="E72" s="347"/>
      <c r="F72" s="347"/>
      <c r="G72" s="349">
        <f>SUM(G73:G78)</f>
        <v>613679</v>
      </c>
      <c r="H72" s="349">
        <f t="shared" ref="H72:Z72" si="22">SUM(H73:H78)</f>
        <v>491455</v>
      </c>
      <c r="I72" s="349">
        <f t="shared" si="22"/>
        <v>247963</v>
      </c>
      <c r="J72" s="349">
        <f t="shared" si="22"/>
        <v>357442</v>
      </c>
      <c r="K72" s="349">
        <f t="shared" si="22"/>
        <v>0</v>
      </c>
      <c r="L72" s="349">
        <f t="shared" si="22"/>
        <v>0</v>
      </c>
      <c r="M72" s="349">
        <f t="shared" si="22"/>
        <v>98411</v>
      </c>
      <c r="N72" s="349">
        <f t="shared" si="22"/>
        <v>96740</v>
      </c>
      <c r="O72" s="349">
        <f t="shared" si="22"/>
        <v>7827</v>
      </c>
      <c r="P72" s="349">
        <f t="shared" si="22"/>
        <v>7827</v>
      </c>
      <c r="Q72" s="349">
        <f t="shared" si="22"/>
        <v>35271</v>
      </c>
      <c r="R72" s="349">
        <f t="shared" si="22"/>
        <v>33600</v>
      </c>
      <c r="S72" s="349">
        <f t="shared" si="22"/>
        <v>78911</v>
      </c>
      <c r="T72" s="349">
        <f t="shared" si="22"/>
        <v>77240</v>
      </c>
      <c r="U72" s="349">
        <f t="shared" si="22"/>
        <v>117811</v>
      </c>
      <c r="V72" s="349">
        <f t="shared" si="22"/>
        <v>116140</v>
      </c>
      <c r="W72" s="349">
        <f t="shared" si="22"/>
        <v>241302</v>
      </c>
      <c r="X72" s="349">
        <f t="shared" si="22"/>
        <v>241302</v>
      </c>
      <c r="Y72" s="349">
        <f t="shared" si="22"/>
        <v>0</v>
      </c>
      <c r="Z72" s="349">
        <f t="shared" si="22"/>
        <v>0</v>
      </c>
      <c r="AA72" s="315"/>
      <c r="AB72" s="299"/>
    </row>
    <row r="73" spans="1:32" s="289" customFormat="1" ht="90.75" customHeight="1">
      <c r="A73" s="311" t="s">
        <v>13</v>
      </c>
      <c r="B73" s="350" t="s">
        <v>318</v>
      </c>
      <c r="C73" s="321" t="s">
        <v>319</v>
      </c>
      <c r="D73" s="321" t="s">
        <v>320</v>
      </c>
      <c r="E73" s="351" t="s">
        <v>321</v>
      </c>
      <c r="F73" s="321" t="s">
        <v>322</v>
      </c>
      <c r="G73" s="352">
        <v>73948</v>
      </c>
      <c r="H73" s="352">
        <f>G73</f>
        <v>73948</v>
      </c>
      <c r="I73" s="352">
        <f>J73</f>
        <v>73948</v>
      </c>
      <c r="J73" s="352">
        <v>73948</v>
      </c>
      <c r="K73" s="342"/>
      <c r="L73" s="342"/>
      <c r="M73" s="342">
        <f>N73</f>
        <v>30000</v>
      </c>
      <c r="N73" s="342">
        <v>30000</v>
      </c>
      <c r="O73" s="342">
        <f>P73</f>
        <v>7827</v>
      </c>
      <c r="P73" s="342">
        <v>7827</v>
      </c>
      <c r="Q73" s="342">
        <f>R73</f>
        <v>10600</v>
      </c>
      <c r="R73" s="342">
        <v>10600</v>
      </c>
      <c r="S73" s="342">
        <f>T73</f>
        <v>11000</v>
      </c>
      <c r="T73" s="342">
        <v>11000</v>
      </c>
      <c r="U73" s="342">
        <f>V73</f>
        <v>49400</v>
      </c>
      <c r="V73" s="342">
        <v>49400</v>
      </c>
      <c r="W73" s="342">
        <f>X73</f>
        <v>24548</v>
      </c>
      <c r="X73" s="342">
        <f>J73-V73</f>
        <v>24548</v>
      </c>
      <c r="Y73" s="342"/>
      <c r="Z73" s="342"/>
      <c r="AA73" s="342"/>
      <c r="AB73" s="353" t="s">
        <v>598</v>
      </c>
    </row>
    <row r="74" spans="1:32" s="289" customFormat="1" ht="90.75" customHeight="1">
      <c r="A74" s="336">
        <v>2</v>
      </c>
      <c r="B74" s="322" t="s">
        <v>331</v>
      </c>
      <c r="C74" s="313" t="s">
        <v>218</v>
      </c>
      <c r="D74" s="314" t="s">
        <v>332</v>
      </c>
      <c r="E74" s="314" t="s">
        <v>305</v>
      </c>
      <c r="F74" s="331" t="s">
        <v>333</v>
      </c>
      <c r="G74" s="354">
        <v>15266</v>
      </c>
      <c r="H74" s="97">
        <v>9556</v>
      </c>
      <c r="I74" s="110">
        <v>6908</v>
      </c>
      <c r="J74" s="110">
        <v>6908</v>
      </c>
      <c r="K74" s="110"/>
      <c r="L74" s="110"/>
      <c r="M74" s="110">
        <v>3000</v>
      </c>
      <c r="N74" s="110">
        <v>3000</v>
      </c>
      <c r="O74" s="119"/>
      <c r="P74" s="110"/>
      <c r="Q74" s="110"/>
      <c r="R74" s="110"/>
      <c r="S74" s="110">
        <v>3000</v>
      </c>
      <c r="T74" s="110">
        <v>3000</v>
      </c>
      <c r="U74" s="110">
        <v>3000</v>
      </c>
      <c r="V74" s="110">
        <v>3000</v>
      </c>
      <c r="W74" s="110">
        <v>3908</v>
      </c>
      <c r="X74" s="110">
        <v>3908</v>
      </c>
      <c r="Y74" s="110"/>
      <c r="Z74" s="110"/>
      <c r="AA74" s="110">
        <v>3908</v>
      </c>
      <c r="AB74" s="314" t="s">
        <v>597</v>
      </c>
      <c r="AC74" s="332"/>
      <c r="AD74" s="109"/>
      <c r="AE74" s="110">
        <v>2657</v>
      </c>
      <c r="AF74" s="310"/>
    </row>
    <row r="75" spans="1:32" s="289" customFormat="1" ht="90.75" customHeight="1">
      <c r="A75" s="336">
        <v>3</v>
      </c>
      <c r="B75" s="337" t="s">
        <v>640</v>
      </c>
      <c r="C75" s="314" t="s">
        <v>631</v>
      </c>
      <c r="D75" s="314" t="s">
        <v>641</v>
      </c>
      <c r="E75" s="327" t="s">
        <v>257</v>
      </c>
      <c r="F75" s="96" t="s">
        <v>642</v>
      </c>
      <c r="G75" s="91">
        <v>79027</v>
      </c>
      <c r="H75" s="97">
        <v>58598</v>
      </c>
      <c r="I75" s="297">
        <f t="shared" ref="I75:I76" si="23">J75</f>
        <v>52949</v>
      </c>
      <c r="J75" s="98">
        <v>52949</v>
      </c>
      <c r="K75" s="110"/>
      <c r="L75" s="110"/>
      <c r="M75" s="297">
        <f t="shared" ref="M75:M76" si="24">N75</f>
        <v>4000</v>
      </c>
      <c r="N75" s="100">
        <v>4000</v>
      </c>
      <c r="O75" s="94"/>
      <c r="P75" s="100"/>
      <c r="Q75" s="297">
        <f t="shared" ref="Q75:Q76" si="25">R75</f>
        <v>3000</v>
      </c>
      <c r="R75" s="91">
        <v>3000</v>
      </c>
      <c r="S75" s="94">
        <f t="shared" ref="S75:S76" si="26">T75</f>
        <v>4000</v>
      </c>
      <c r="T75" s="94">
        <v>4000</v>
      </c>
      <c r="U75" s="297">
        <f t="shared" ref="U75:U76" si="27">V75</f>
        <v>4000</v>
      </c>
      <c r="V75" s="100">
        <v>4000</v>
      </c>
      <c r="W75" s="297">
        <f t="shared" ref="W75:W76" si="28">X75</f>
        <v>48949</v>
      </c>
      <c r="X75" s="297">
        <f t="shared" ref="X75:X76" si="29">J75-V75</f>
        <v>48949</v>
      </c>
      <c r="Y75" s="297"/>
      <c r="Z75" s="297"/>
      <c r="AA75" s="297" t="s">
        <v>638</v>
      </c>
      <c r="AB75" s="314" t="s">
        <v>639</v>
      </c>
      <c r="AC75" s="335"/>
      <c r="AD75" s="355"/>
      <c r="AE75" s="335"/>
      <c r="AF75" s="356"/>
    </row>
    <row r="76" spans="1:32" s="289" customFormat="1" ht="90.75" customHeight="1">
      <c r="A76" s="336">
        <v>4</v>
      </c>
      <c r="B76" s="330" t="s">
        <v>643</v>
      </c>
      <c r="C76" s="327" t="s">
        <v>407</v>
      </c>
      <c r="D76" s="357" t="s">
        <v>644</v>
      </c>
      <c r="E76" s="327" t="s">
        <v>278</v>
      </c>
      <c r="F76" s="358" t="s">
        <v>645</v>
      </c>
      <c r="G76" s="359">
        <v>200973</v>
      </c>
      <c r="H76" s="99">
        <v>157633</v>
      </c>
      <c r="I76" s="297">
        <f t="shared" si="23"/>
        <v>90968</v>
      </c>
      <c r="J76" s="98">
        <v>90968</v>
      </c>
      <c r="K76" s="110"/>
      <c r="L76" s="110"/>
      <c r="M76" s="297">
        <f t="shared" si="24"/>
        <v>5000</v>
      </c>
      <c r="N76" s="100">
        <v>5000</v>
      </c>
      <c r="O76" s="94"/>
      <c r="P76" s="100"/>
      <c r="Q76" s="297">
        <f t="shared" si="25"/>
        <v>0</v>
      </c>
      <c r="R76" s="91"/>
      <c r="S76" s="94">
        <f t="shared" si="26"/>
        <v>4500</v>
      </c>
      <c r="T76" s="94">
        <v>4500</v>
      </c>
      <c r="U76" s="297">
        <f t="shared" si="27"/>
        <v>5000</v>
      </c>
      <c r="V76" s="100">
        <v>5000</v>
      </c>
      <c r="W76" s="297">
        <f t="shared" si="28"/>
        <v>85968</v>
      </c>
      <c r="X76" s="297">
        <f t="shared" si="29"/>
        <v>85968</v>
      </c>
      <c r="Y76" s="297"/>
      <c r="Z76" s="297"/>
      <c r="AA76" s="297" t="s">
        <v>638</v>
      </c>
      <c r="AB76" s="314" t="s">
        <v>639</v>
      </c>
      <c r="AC76" s="335"/>
      <c r="AD76" s="355"/>
      <c r="AE76" s="335"/>
      <c r="AF76" s="356"/>
    </row>
    <row r="77" spans="1:32" s="289" customFormat="1" ht="90.75" customHeight="1">
      <c r="A77" s="339">
        <v>5</v>
      </c>
      <c r="B77" s="299" t="s">
        <v>685</v>
      </c>
      <c r="C77" s="331" t="s">
        <v>686</v>
      </c>
      <c r="D77" s="345" t="s">
        <v>687</v>
      </c>
      <c r="E77" s="331" t="s">
        <v>257</v>
      </c>
      <c r="F77" s="345" t="s">
        <v>688</v>
      </c>
      <c r="G77" s="360">
        <v>166273</v>
      </c>
      <c r="H77" s="103">
        <v>134618</v>
      </c>
      <c r="I77" s="342"/>
      <c r="J77" s="103">
        <v>109479</v>
      </c>
      <c r="K77" s="342"/>
      <c r="L77" s="342"/>
      <c r="M77" s="103">
        <f>+N77+1671</f>
        <v>56411</v>
      </c>
      <c r="N77" s="103">
        <v>54740</v>
      </c>
      <c r="O77" s="342"/>
      <c r="P77" s="342">
        <v>0</v>
      </c>
      <c r="Q77" s="103">
        <f>R77+1671</f>
        <v>21671</v>
      </c>
      <c r="R77" s="103">
        <v>20000</v>
      </c>
      <c r="S77" s="103">
        <f>T77+1671</f>
        <v>56411</v>
      </c>
      <c r="T77" s="103">
        <f>N77</f>
        <v>54740</v>
      </c>
      <c r="U77" s="342">
        <f>1671+V77</f>
        <v>56411</v>
      </c>
      <c r="V77" s="103">
        <f>T77</f>
        <v>54740</v>
      </c>
      <c r="W77" s="103">
        <f>X77</f>
        <v>54739</v>
      </c>
      <c r="X77" s="103">
        <v>54739</v>
      </c>
      <c r="Y77" s="342"/>
      <c r="Z77" s="342"/>
      <c r="AA77" s="342"/>
      <c r="AB77" s="314" t="s">
        <v>684</v>
      </c>
      <c r="AC77" s="335"/>
      <c r="AD77" s="355"/>
      <c r="AE77" s="335"/>
      <c r="AF77" s="356"/>
    </row>
    <row r="78" spans="1:32" s="289" customFormat="1" ht="90.75" customHeight="1">
      <c r="A78" s="339">
        <v>6</v>
      </c>
      <c r="B78" s="299" t="s">
        <v>956</v>
      </c>
      <c r="C78" s="331"/>
      <c r="D78" s="345"/>
      <c r="E78" s="331"/>
      <c r="F78" s="345"/>
      <c r="G78" s="360">
        <v>78192</v>
      </c>
      <c r="H78" s="103">
        <v>57102</v>
      </c>
      <c r="I78" s="342">
        <v>23190</v>
      </c>
      <c r="J78" s="103">
        <v>23190</v>
      </c>
      <c r="K78" s="342"/>
      <c r="L78" s="342"/>
      <c r="M78" s="103">
        <v>0</v>
      </c>
      <c r="N78" s="103"/>
      <c r="O78" s="342">
        <v>0</v>
      </c>
      <c r="P78" s="342"/>
      <c r="Q78" s="103">
        <v>0</v>
      </c>
      <c r="R78" s="103">
        <v>0</v>
      </c>
      <c r="S78" s="103">
        <v>0</v>
      </c>
      <c r="T78" s="103">
        <v>0</v>
      </c>
      <c r="U78" s="342">
        <v>0</v>
      </c>
      <c r="V78" s="103"/>
      <c r="W78" s="103">
        <v>23190</v>
      </c>
      <c r="X78" s="103">
        <v>23190</v>
      </c>
      <c r="Y78" s="342"/>
      <c r="Z78" s="342"/>
      <c r="AA78" s="342"/>
      <c r="AB78" s="314" t="s">
        <v>955</v>
      </c>
      <c r="AC78" s="335"/>
      <c r="AD78" s="355"/>
      <c r="AE78" s="335"/>
      <c r="AF78" s="356"/>
    </row>
    <row r="79" spans="1:32" s="289" customFormat="1" ht="19.5">
      <c r="A79" s="307" t="s">
        <v>19</v>
      </c>
      <c r="B79" s="308" t="s">
        <v>20</v>
      </c>
      <c r="C79" s="313"/>
      <c r="D79" s="314"/>
      <c r="E79" s="314"/>
      <c r="F79" s="331"/>
      <c r="G79" s="361">
        <f>SUM(G80:G106)</f>
        <v>985346</v>
      </c>
      <c r="H79" s="361">
        <f t="shared" ref="H79:Z79" si="30">SUM(H80:H106)</f>
        <v>767621</v>
      </c>
      <c r="I79" s="361">
        <f t="shared" si="30"/>
        <v>562136.67819743499</v>
      </c>
      <c r="J79" s="361">
        <f t="shared" si="30"/>
        <v>551887.67819743499</v>
      </c>
      <c r="K79" s="361">
        <f t="shared" si="30"/>
        <v>0</v>
      </c>
      <c r="L79" s="361">
        <f t="shared" si="30"/>
        <v>0</v>
      </c>
      <c r="M79" s="361">
        <f t="shared" si="30"/>
        <v>275807</v>
      </c>
      <c r="N79" s="361">
        <f t="shared" si="30"/>
        <v>267807</v>
      </c>
      <c r="O79" s="361">
        <f t="shared" si="30"/>
        <v>33564.345000000001</v>
      </c>
      <c r="P79" s="361">
        <f t="shared" si="30"/>
        <v>33230.5</v>
      </c>
      <c r="Q79" s="361">
        <f t="shared" si="30"/>
        <v>140328.845</v>
      </c>
      <c r="R79" s="361">
        <f t="shared" si="30"/>
        <v>136384</v>
      </c>
      <c r="S79" s="361">
        <f t="shared" si="30"/>
        <v>250807</v>
      </c>
      <c r="T79" s="361">
        <f t="shared" si="30"/>
        <v>242807</v>
      </c>
      <c r="U79" s="361">
        <f t="shared" si="30"/>
        <v>305304</v>
      </c>
      <c r="V79" s="361">
        <f t="shared" si="30"/>
        <v>292307</v>
      </c>
      <c r="W79" s="361">
        <f t="shared" si="30"/>
        <v>191547</v>
      </c>
      <c r="X79" s="361">
        <f t="shared" si="30"/>
        <v>188295</v>
      </c>
      <c r="Y79" s="361">
        <f t="shared" si="30"/>
        <v>0</v>
      </c>
      <c r="Z79" s="361">
        <f t="shared" si="30"/>
        <v>0</v>
      </c>
      <c r="AA79" s="110"/>
      <c r="AB79" s="110"/>
      <c r="AC79" s="335"/>
      <c r="AD79" s="355"/>
      <c r="AE79" s="335"/>
      <c r="AF79" s="356"/>
    </row>
    <row r="80" spans="1:32" s="289" customFormat="1" ht="118.5" customHeight="1">
      <c r="A80" s="336">
        <v>1</v>
      </c>
      <c r="B80" s="330" t="s">
        <v>334</v>
      </c>
      <c r="C80" s="313" t="s">
        <v>338</v>
      </c>
      <c r="D80" s="327" t="s">
        <v>339</v>
      </c>
      <c r="E80" s="318" t="s">
        <v>312</v>
      </c>
      <c r="F80" s="331" t="s">
        <v>340</v>
      </c>
      <c r="G80" s="121">
        <v>22120</v>
      </c>
      <c r="H80" s="121">
        <v>16827</v>
      </c>
      <c r="I80" s="121">
        <f>15144+2120</f>
        <v>17264</v>
      </c>
      <c r="J80" s="121">
        <v>15144</v>
      </c>
      <c r="K80" s="110"/>
      <c r="L80" s="110"/>
      <c r="M80" s="110">
        <v>11144</v>
      </c>
      <c r="N80" s="110">
        <v>10644</v>
      </c>
      <c r="O80" s="119">
        <v>1641.13</v>
      </c>
      <c r="P80" s="110">
        <v>1641.13</v>
      </c>
      <c r="Q80" s="110">
        <v>6225</v>
      </c>
      <c r="R80" s="110">
        <v>5975</v>
      </c>
      <c r="S80" s="110">
        <v>11144</v>
      </c>
      <c r="T80" s="110">
        <v>10644</v>
      </c>
      <c r="U80" s="110">
        <v>16922</v>
      </c>
      <c r="V80" s="110">
        <v>15144</v>
      </c>
      <c r="W80" s="110">
        <v>342</v>
      </c>
      <c r="X80" s="110"/>
      <c r="Y80" s="110"/>
      <c r="Z80" s="110"/>
      <c r="AA80" s="110"/>
      <c r="AB80" s="314" t="s">
        <v>597</v>
      </c>
      <c r="AC80" s="335"/>
      <c r="AD80" s="355"/>
      <c r="AE80" s="335"/>
      <c r="AF80" s="356"/>
    </row>
    <row r="81" spans="1:32" s="289" customFormat="1" ht="101.25" customHeight="1">
      <c r="A81" s="336">
        <v>2</v>
      </c>
      <c r="B81" s="330" t="s">
        <v>335</v>
      </c>
      <c r="C81" s="313" t="s">
        <v>341</v>
      </c>
      <c r="D81" s="327" t="s">
        <v>342</v>
      </c>
      <c r="E81" s="318" t="s">
        <v>312</v>
      </c>
      <c r="F81" s="331" t="s">
        <v>343</v>
      </c>
      <c r="G81" s="121">
        <v>31739</v>
      </c>
      <c r="H81" s="121">
        <v>24384</v>
      </c>
      <c r="I81" s="121">
        <f>21945+3027</f>
        <v>24972</v>
      </c>
      <c r="J81" s="121">
        <v>21945</v>
      </c>
      <c r="K81" s="110"/>
      <c r="L81" s="110"/>
      <c r="M81" s="110">
        <v>19945</v>
      </c>
      <c r="N81" s="110">
        <v>19445</v>
      </c>
      <c r="O81" s="119">
        <v>1721.0889999999999</v>
      </c>
      <c r="P81" s="110">
        <v>1721.0889999999999</v>
      </c>
      <c r="Q81" s="110">
        <v>11495</v>
      </c>
      <c r="R81" s="110">
        <v>11290</v>
      </c>
      <c r="S81" s="110">
        <v>17445</v>
      </c>
      <c r="T81" s="110">
        <v>16945</v>
      </c>
      <c r="U81" s="110">
        <v>21344</v>
      </c>
      <c r="V81" s="110">
        <v>19445</v>
      </c>
      <c r="W81" s="110">
        <v>3628</v>
      </c>
      <c r="X81" s="110">
        <v>2500</v>
      </c>
      <c r="Y81" s="110"/>
      <c r="Z81" s="110"/>
      <c r="AA81" s="110"/>
      <c r="AB81" s="314" t="s">
        <v>597</v>
      </c>
      <c r="AC81" s="335"/>
      <c r="AD81" s="355"/>
      <c r="AE81" s="335"/>
      <c r="AF81" s="356"/>
    </row>
    <row r="82" spans="1:32" s="289" customFormat="1" ht="99.75" customHeight="1">
      <c r="A82" s="336">
        <v>3</v>
      </c>
      <c r="B82" s="330" t="s">
        <v>336</v>
      </c>
      <c r="C82" s="313" t="s">
        <v>344</v>
      </c>
      <c r="D82" s="327" t="s">
        <v>345</v>
      </c>
      <c r="E82" s="318" t="s">
        <v>312</v>
      </c>
      <c r="F82" s="331" t="s">
        <v>346</v>
      </c>
      <c r="G82" s="121">
        <v>22360</v>
      </c>
      <c r="H82" s="121">
        <v>17069</v>
      </c>
      <c r="I82" s="110">
        <f>15363+2082</f>
        <v>17445</v>
      </c>
      <c r="J82" s="110">
        <v>15363</v>
      </c>
      <c r="K82" s="110"/>
      <c r="L82" s="110"/>
      <c r="M82" s="110">
        <v>11863</v>
      </c>
      <c r="N82" s="110">
        <v>11363</v>
      </c>
      <c r="O82" s="119">
        <v>1859.1019999999999</v>
      </c>
      <c r="P82" s="110">
        <v>1855.2809999999999</v>
      </c>
      <c r="Q82" s="110">
        <v>5572.8209999999999</v>
      </c>
      <c r="R82" s="110">
        <v>5319</v>
      </c>
      <c r="S82" s="110">
        <v>11863</v>
      </c>
      <c r="T82" s="110">
        <v>11363</v>
      </c>
      <c r="U82" s="110">
        <v>17161</v>
      </c>
      <c r="V82" s="110">
        <v>15363</v>
      </c>
      <c r="W82" s="110">
        <v>284</v>
      </c>
      <c r="X82" s="110"/>
      <c r="Y82" s="110"/>
      <c r="Z82" s="110"/>
      <c r="AA82" s="110"/>
      <c r="AB82" s="314" t="s">
        <v>597</v>
      </c>
      <c r="AC82" s="335"/>
      <c r="AD82" s="355"/>
      <c r="AE82" s="335"/>
      <c r="AF82" s="356"/>
    </row>
    <row r="83" spans="1:32" s="289" customFormat="1" ht="123.75" customHeight="1">
      <c r="A83" s="336">
        <v>4</v>
      </c>
      <c r="B83" s="330" t="s">
        <v>337</v>
      </c>
      <c r="C83" s="313" t="s">
        <v>347</v>
      </c>
      <c r="D83" s="327" t="s">
        <v>348</v>
      </c>
      <c r="E83" s="318" t="s">
        <v>312</v>
      </c>
      <c r="F83" s="331" t="s">
        <v>349</v>
      </c>
      <c r="G83" s="121">
        <v>22661</v>
      </c>
      <c r="H83" s="121">
        <v>16894</v>
      </c>
      <c r="I83" s="121">
        <f>15205+3020</f>
        <v>18225</v>
      </c>
      <c r="J83" s="121">
        <v>15205</v>
      </c>
      <c r="K83" s="110"/>
      <c r="L83" s="110"/>
      <c r="M83" s="110">
        <v>10500</v>
      </c>
      <c r="N83" s="110">
        <v>10000</v>
      </c>
      <c r="O83" s="119">
        <v>11.023999999999999</v>
      </c>
      <c r="P83" s="110"/>
      <c r="Q83" s="110">
        <v>236.024</v>
      </c>
      <c r="R83" s="110"/>
      <c r="S83" s="110">
        <v>5500</v>
      </c>
      <c r="T83" s="110">
        <v>5000</v>
      </c>
      <c r="U83" s="110">
        <v>6522</v>
      </c>
      <c r="V83" s="110">
        <v>5000</v>
      </c>
      <c r="W83" s="110">
        <v>11703</v>
      </c>
      <c r="X83" s="110">
        <v>10205</v>
      </c>
      <c r="Y83" s="110"/>
      <c r="Z83" s="110"/>
      <c r="AA83" s="110"/>
      <c r="AB83" s="314" t="s">
        <v>597</v>
      </c>
      <c r="AC83" s="335"/>
      <c r="AD83" s="355"/>
      <c r="AE83" s="335"/>
      <c r="AF83" s="356"/>
    </row>
    <row r="84" spans="1:32" s="289" customFormat="1" ht="123.75" customHeight="1">
      <c r="A84" s="336">
        <v>5</v>
      </c>
      <c r="B84" s="362" t="s">
        <v>646</v>
      </c>
      <c r="C84" s="327" t="s">
        <v>647</v>
      </c>
      <c r="D84" s="327" t="s">
        <v>627</v>
      </c>
      <c r="E84" s="327" t="s">
        <v>648</v>
      </c>
      <c r="F84" s="327" t="s">
        <v>649</v>
      </c>
      <c r="G84" s="126">
        <v>51163</v>
      </c>
      <c r="H84" s="126">
        <v>40651</v>
      </c>
      <c r="I84" s="297">
        <f t="shared" ref="I84:I85" si="31">J84</f>
        <v>30000</v>
      </c>
      <c r="J84" s="95">
        <v>30000</v>
      </c>
      <c r="K84" s="110"/>
      <c r="L84" s="110"/>
      <c r="M84" s="297">
        <f t="shared" ref="M84:M85" si="32">N84</f>
        <v>5000</v>
      </c>
      <c r="N84" s="95">
        <v>5000</v>
      </c>
      <c r="O84" s="94">
        <f t="shared" ref="O84:O85" si="33">P84</f>
        <v>0</v>
      </c>
      <c r="P84" s="95"/>
      <c r="Q84" s="297">
        <f t="shared" ref="Q84:Q85" si="34">R84</f>
        <v>3000</v>
      </c>
      <c r="R84" s="91">
        <v>3000</v>
      </c>
      <c r="S84" s="94">
        <f t="shared" ref="S84:S85" si="35">T84</f>
        <v>5000</v>
      </c>
      <c r="T84" s="94">
        <v>5000</v>
      </c>
      <c r="U84" s="297">
        <f t="shared" ref="U84:U85" si="36">V84</f>
        <v>5000</v>
      </c>
      <c r="V84" s="93">
        <f>5000</f>
        <v>5000</v>
      </c>
      <c r="W84" s="297">
        <f t="shared" ref="W84:W85" si="37">X84</f>
        <v>25000</v>
      </c>
      <c r="X84" s="297">
        <f>J84-V84</f>
        <v>25000</v>
      </c>
      <c r="Y84" s="297"/>
      <c r="Z84" s="297"/>
      <c r="AA84" s="297"/>
      <c r="AB84" s="314" t="s">
        <v>639</v>
      </c>
      <c r="AC84" s="335"/>
      <c r="AD84" s="355"/>
      <c r="AE84" s="335"/>
      <c r="AF84" s="356"/>
    </row>
    <row r="85" spans="1:32" s="289" customFormat="1" ht="123.75" customHeight="1">
      <c r="A85" s="336">
        <v>6</v>
      </c>
      <c r="B85" s="322" t="s">
        <v>652</v>
      </c>
      <c r="C85" s="327" t="s">
        <v>407</v>
      </c>
      <c r="D85" s="327" t="s">
        <v>650</v>
      </c>
      <c r="E85" s="327" t="s">
        <v>648</v>
      </c>
      <c r="F85" s="95" t="s">
        <v>651</v>
      </c>
      <c r="G85" s="100">
        <v>30070</v>
      </c>
      <c r="H85" s="127">
        <v>23353</v>
      </c>
      <c r="I85" s="297">
        <f t="shared" si="31"/>
        <v>16750</v>
      </c>
      <c r="J85" s="98">
        <v>16750</v>
      </c>
      <c r="K85" s="110"/>
      <c r="L85" s="110"/>
      <c r="M85" s="297">
        <f t="shared" si="32"/>
        <v>8000</v>
      </c>
      <c r="N85" s="100">
        <v>8000</v>
      </c>
      <c r="O85" s="94">
        <f t="shared" si="33"/>
        <v>6266</v>
      </c>
      <c r="P85" s="100">
        <v>6266</v>
      </c>
      <c r="Q85" s="297">
        <f t="shared" si="34"/>
        <v>7200</v>
      </c>
      <c r="R85" s="91">
        <v>7200</v>
      </c>
      <c r="S85" s="94">
        <f t="shared" si="35"/>
        <v>8000</v>
      </c>
      <c r="T85" s="94">
        <v>8000</v>
      </c>
      <c r="U85" s="297">
        <f t="shared" si="36"/>
        <v>10000</v>
      </c>
      <c r="V85" s="100">
        <f>2000+8000</f>
        <v>10000</v>
      </c>
      <c r="W85" s="297">
        <f t="shared" si="37"/>
        <v>6750</v>
      </c>
      <c r="X85" s="297">
        <f>J85-V85</f>
        <v>6750</v>
      </c>
      <c r="Y85" s="297"/>
      <c r="Z85" s="297"/>
      <c r="AA85" s="297"/>
      <c r="AB85" s="314" t="s">
        <v>639</v>
      </c>
      <c r="AC85" s="335"/>
      <c r="AD85" s="355"/>
      <c r="AE85" s="335"/>
      <c r="AF85" s="356"/>
    </row>
    <row r="86" spans="1:32" s="289" customFormat="1" ht="123.75" customHeight="1">
      <c r="A86" s="339">
        <v>7</v>
      </c>
      <c r="B86" s="340" t="s">
        <v>689</v>
      </c>
      <c r="C86" s="331" t="s">
        <v>686</v>
      </c>
      <c r="D86" s="341" t="s">
        <v>690</v>
      </c>
      <c r="E86" s="341" t="s">
        <v>305</v>
      </c>
      <c r="F86" s="341" t="s">
        <v>691</v>
      </c>
      <c r="G86" s="342">
        <v>35834</v>
      </c>
      <c r="H86" s="342">
        <v>24831</v>
      </c>
      <c r="I86" s="342">
        <f>J86</f>
        <v>17451</v>
      </c>
      <c r="J86" s="342">
        <v>17451</v>
      </c>
      <c r="K86" s="342"/>
      <c r="L86" s="342"/>
      <c r="M86" s="342">
        <f>10000+6000</f>
        <v>16000</v>
      </c>
      <c r="N86" s="342">
        <v>10000</v>
      </c>
      <c r="O86" s="342">
        <f>319+P86</f>
        <v>10319</v>
      </c>
      <c r="P86" s="342">
        <v>10000</v>
      </c>
      <c r="Q86" s="342">
        <f>R86+3000</f>
        <v>13000</v>
      </c>
      <c r="R86" s="342">
        <v>10000</v>
      </c>
      <c r="S86" s="342">
        <v>16000</v>
      </c>
      <c r="T86" s="342">
        <v>10000</v>
      </c>
      <c r="U86" s="342">
        <v>16000</v>
      </c>
      <c r="V86" s="342">
        <v>10000</v>
      </c>
      <c r="W86" s="342">
        <f>X86</f>
        <v>12575</v>
      </c>
      <c r="X86" s="342">
        <v>12575</v>
      </c>
      <c r="Y86" s="342"/>
      <c r="Z86" s="342"/>
      <c r="AA86" s="342"/>
      <c r="AB86" s="314" t="s">
        <v>684</v>
      </c>
      <c r="AC86" s="335"/>
      <c r="AD86" s="355"/>
      <c r="AE86" s="335"/>
      <c r="AF86" s="356"/>
    </row>
    <row r="87" spans="1:32" s="289" customFormat="1" ht="123.75" customHeight="1">
      <c r="A87" s="339">
        <v>8</v>
      </c>
      <c r="B87" s="322" t="s">
        <v>762</v>
      </c>
      <c r="C87" s="314" t="s">
        <v>210</v>
      </c>
      <c r="D87" s="314" t="s">
        <v>763</v>
      </c>
      <c r="E87" s="314" t="s">
        <v>230</v>
      </c>
      <c r="F87" s="314" t="s">
        <v>764</v>
      </c>
      <c r="G87" s="99">
        <v>29264</v>
      </c>
      <c r="H87" s="99">
        <v>23956</v>
      </c>
      <c r="I87" s="91">
        <v>32799</v>
      </c>
      <c r="J87" s="91">
        <v>32799</v>
      </c>
      <c r="K87" s="91">
        <v>0</v>
      </c>
      <c r="L87" s="91">
        <v>0</v>
      </c>
      <c r="M87" s="91">
        <v>10000</v>
      </c>
      <c r="N87" s="91">
        <v>10000</v>
      </c>
      <c r="O87" s="91">
        <v>173</v>
      </c>
      <c r="P87" s="91">
        <v>173</v>
      </c>
      <c r="Q87" s="91">
        <v>10000</v>
      </c>
      <c r="R87" s="91">
        <v>10000</v>
      </c>
      <c r="S87" s="91">
        <v>10000</v>
      </c>
      <c r="T87" s="91">
        <v>10000</v>
      </c>
      <c r="U87" s="91">
        <v>20000</v>
      </c>
      <c r="V87" s="91">
        <v>20000</v>
      </c>
      <c r="W87" s="91">
        <v>12799</v>
      </c>
      <c r="X87" s="91">
        <v>12799</v>
      </c>
      <c r="Y87" s="91">
        <v>0</v>
      </c>
      <c r="Z87" s="91">
        <v>0</v>
      </c>
      <c r="AA87" s="343"/>
      <c r="AB87" s="314" t="s">
        <v>761</v>
      </c>
      <c r="AC87" s="335"/>
      <c r="AD87" s="355"/>
      <c r="AE87" s="335"/>
      <c r="AF87" s="356"/>
    </row>
    <row r="88" spans="1:32" s="289" customFormat="1" ht="123.75" customHeight="1">
      <c r="A88" s="339">
        <v>9</v>
      </c>
      <c r="B88" s="322" t="s">
        <v>765</v>
      </c>
      <c r="C88" s="314" t="s">
        <v>210</v>
      </c>
      <c r="D88" s="314" t="s">
        <v>766</v>
      </c>
      <c r="E88" s="314" t="s">
        <v>312</v>
      </c>
      <c r="F88" s="314" t="s">
        <v>767</v>
      </c>
      <c r="G88" s="99">
        <v>13342</v>
      </c>
      <c r="H88" s="99">
        <v>9559</v>
      </c>
      <c r="I88" s="91">
        <v>9559</v>
      </c>
      <c r="J88" s="91">
        <v>9559</v>
      </c>
      <c r="K88" s="91">
        <v>0</v>
      </c>
      <c r="L88" s="91">
        <v>0</v>
      </c>
      <c r="M88" s="91">
        <v>0</v>
      </c>
      <c r="N88" s="91">
        <v>0</v>
      </c>
      <c r="O88" s="91">
        <v>0</v>
      </c>
      <c r="P88" s="91">
        <v>0</v>
      </c>
      <c r="Q88" s="91">
        <v>0</v>
      </c>
      <c r="R88" s="91">
        <v>0</v>
      </c>
      <c r="S88" s="91">
        <v>0</v>
      </c>
      <c r="T88" s="91">
        <v>0</v>
      </c>
      <c r="U88" s="91">
        <v>0</v>
      </c>
      <c r="V88" s="91">
        <v>0</v>
      </c>
      <c r="W88" s="91">
        <v>9559</v>
      </c>
      <c r="X88" s="91">
        <v>9559</v>
      </c>
      <c r="Y88" s="91">
        <v>0</v>
      </c>
      <c r="Z88" s="91">
        <v>0</v>
      </c>
      <c r="AA88" s="343"/>
      <c r="AB88" s="314" t="s">
        <v>761</v>
      </c>
      <c r="AC88" s="335"/>
      <c r="AD88" s="355"/>
      <c r="AE88" s="335"/>
      <c r="AF88" s="356"/>
    </row>
    <row r="89" spans="1:32" s="289" customFormat="1" ht="123.75" customHeight="1">
      <c r="A89" s="339">
        <v>10</v>
      </c>
      <c r="B89" s="322" t="s">
        <v>768</v>
      </c>
      <c r="C89" s="314" t="s">
        <v>210</v>
      </c>
      <c r="D89" s="314" t="s">
        <v>769</v>
      </c>
      <c r="E89" s="314" t="s">
        <v>305</v>
      </c>
      <c r="F89" s="314" t="s">
        <v>770</v>
      </c>
      <c r="G89" s="99">
        <v>16900</v>
      </c>
      <c r="H89" s="99">
        <v>9794</v>
      </c>
      <c r="I89" s="91">
        <v>9747</v>
      </c>
      <c r="J89" s="91">
        <v>9747</v>
      </c>
      <c r="K89" s="91">
        <v>0</v>
      </c>
      <c r="L89" s="91">
        <v>0</v>
      </c>
      <c r="M89" s="91">
        <v>6000</v>
      </c>
      <c r="N89" s="91">
        <v>6000</v>
      </c>
      <c r="O89" s="91">
        <v>300</v>
      </c>
      <c r="P89" s="91">
        <v>300</v>
      </c>
      <c r="Q89" s="91">
        <v>2400</v>
      </c>
      <c r="R89" s="91">
        <v>2400</v>
      </c>
      <c r="S89" s="91">
        <v>6000</v>
      </c>
      <c r="T89" s="91">
        <v>6000</v>
      </c>
      <c r="U89" s="91">
        <v>6000</v>
      </c>
      <c r="V89" s="91">
        <v>6000</v>
      </c>
      <c r="W89" s="91">
        <v>3747</v>
      </c>
      <c r="X89" s="91">
        <v>3747</v>
      </c>
      <c r="Y89" s="91">
        <v>0</v>
      </c>
      <c r="Z89" s="91">
        <v>0</v>
      </c>
      <c r="AA89" s="343"/>
      <c r="AB89" s="314" t="s">
        <v>761</v>
      </c>
      <c r="AC89" s="335"/>
      <c r="AD89" s="355"/>
      <c r="AE89" s="335"/>
      <c r="AF89" s="356"/>
    </row>
    <row r="90" spans="1:32" s="289" customFormat="1" ht="56.25">
      <c r="A90" s="339">
        <v>11</v>
      </c>
      <c r="B90" s="322" t="s">
        <v>957</v>
      </c>
      <c r="C90" s="314" t="s">
        <v>445</v>
      </c>
      <c r="D90" s="314" t="s">
        <v>958</v>
      </c>
      <c r="E90" s="314" t="s">
        <v>289</v>
      </c>
      <c r="F90" s="314" t="s">
        <v>959</v>
      </c>
      <c r="G90" s="99">
        <v>32382</v>
      </c>
      <c r="H90" s="99">
        <v>25104</v>
      </c>
      <c r="I90" s="91">
        <v>11411</v>
      </c>
      <c r="J90" s="91">
        <v>11411</v>
      </c>
      <c r="K90" s="91"/>
      <c r="L90" s="91"/>
      <c r="M90" s="91">
        <v>6000</v>
      </c>
      <c r="N90" s="91">
        <v>6000</v>
      </c>
      <c r="O90" s="91">
        <v>0</v>
      </c>
      <c r="P90" s="91"/>
      <c r="Q90" s="91">
        <v>4200</v>
      </c>
      <c r="R90" s="91">
        <v>4200</v>
      </c>
      <c r="S90" s="91">
        <v>6000</v>
      </c>
      <c r="T90" s="91">
        <v>6000</v>
      </c>
      <c r="U90" s="91">
        <v>6000</v>
      </c>
      <c r="V90" s="91">
        <v>6000</v>
      </c>
      <c r="W90" s="91">
        <v>5411</v>
      </c>
      <c r="X90" s="91">
        <v>5411</v>
      </c>
      <c r="Y90" s="91"/>
      <c r="Z90" s="91"/>
      <c r="AA90" s="343"/>
      <c r="AB90" s="314" t="s">
        <v>955</v>
      </c>
      <c r="AC90" s="335"/>
      <c r="AD90" s="355"/>
      <c r="AE90" s="335"/>
      <c r="AF90" s="356"/>
    </row>
    <row r="91" spans="1:32" s="289" customFormat="1" ht="56.25">
      <c r="A91" s="339">
        <v>12</v>
      </c>
      <c r="B91" s="322" t="s">
        <v>960</v>
      </c>
      <c r="C91" s="314" t="s">
        <v>445</v>
      </c>
      <c r="D91" s="314" t="s">
        <v>961</v>
      </c>
      <c r="E91" s="314" t="s">
        <v>289</v>
      </c>
      <c r="F91" s="314" t="s">
        <v>962</v>
      </c>
      <c r="G91" s="99">
        <v>28642</v>
      </c>
      <c r="H91" s="99">
        <v>22179</v>
      </c>
      <c r="I91" s="91">
        <v>9598</v>
      </c>
      <c r="J91" s="91">
        <v>9598</v>
      </c>
      <c r="K91" s="91"/>
      <c r="L91" s="91"/>
      <c r="M91" s="91">
        <v>5000</v>
      </c>
      <c r="N91" s="91">
        <v>5000</v>
      </c>
      <c r="O91" s="91">
        <v>0</v>
      </c>
      <c r="P91" s="91"/>
      <c r="Q91" s="91">
        <v>3500</v>
      </c>
      <c r="R91" s="91">
        <v>3500</v>
      </c>
      <c r="S91" s="91">
        <v>5000</v>
      </c>
      <c r="T91" s="91">
        <v>5000</v>
      </c>
      <c r="U91" s="91">
        <v>5000</v>
      </c>
      <c r="V91" s="91">
        <v>5000</v>
      </c>
      <c r="W91" s="91">
        <v>4598</v>
      </c>
      <c r="X91" s="91">
        <v>4598</v>
      </c>
      <c r="Y91" s="91"/>
      <c r="Z91" s="91"/>
      <c r="AA91" s="343"/>
      <c r="AB91" s="314" t="s">
        <v>955</v>
      </c>
      <c r="AC91" s="335"/>
      <c r="AD91" s="355"/>
      <c r="AE91" s="335"/>
      <c r="AF91" s="356"/>
    </row>
    <row r="92" spans="1:32" s="289" customFormat="1" ht="56.25">
      <c r="A92" s="339">
        <v>13</v>
      </c>
      <c r="B92" s="322" t="s">
        <v>963</v>
      </c>
      <c r="C92" s="314" t="s">
        <v>445</v>
      </c>
      <c r="D92" s="314" t="s">
        <v>964</v>
      </c>
      <c r="E92" s="314" t="s">
        <v>289</v>
      </c>
      <c r="F92" s="314" t="s">
        <v>965</v>
      </c>
      <c r="G92" s="99">
        <v>30458</v>
      </c>
      <c r="H92" s="99">
        <v>23292</v>
      </c>
      <c r="I92" s="91">
        <v>12344</v>
      </c>
      <c r="J92" s="91">
        <v>12344</v>
      </c>
      <c r="K92" s="91"/>
      <c r="L92" s="91"/>
      <c r="M92" s="91">
        <v>7000</v>
      </c>
      <c r="N92" s="91">
        <v>7000</v>
      </c>
      <c r="O92" s="91">
        <v>0</v>
      </c>
      <c r="P92" s="91"/>
      <c r="Q92" s="91">
        <v>4900</v>
      </c>
      <c r="R92" s="91">
        <v>4900</v>
      </c>
      <c r="S92" s="91">
        <v>7000</v>
      </c>
      <c r="T92" s="91">
        <v>7000</v>
      </c>
      <c r="U92" s="91">
        <v>7000</v>
      </c>
      <c r="V92" s="91">
        <v>7000</v>
      </c>
      <c r="W92" s="91">
        <v>5344</v>
      </c>
      <c r="X92" s="91">
        <v>5344</v>
      </c>
      <c r="Y92" s="91"/>
      <c r="Z92" s="91"/>
      <c r="AA92" s="343"/>
      <c r="AB92" s="314" t="s">
        <v>955</v>
      </c>
      <c r="AC92" s="335"/>
      <c r="AD92" s="355"/>
      <c r="AE92" s="335"/>
      <c r="AF92" s="356"/>
    </row>
    <row r="93" spans="1:32" s="289" customFormat="1" ht="56.25">
      <c r="A93" s="339">
        <v>14</v>
      </c>
      <c r="B93" s="322" t="s">
        <v>966</v>
      </c>
      <c r="C93" s="314" t="s">
        <v>445</v>
      </c>
      <c r="D93" s="314" t="s">
        <v>967</v>
      </c>
      <c r="E93" s="314" t="s">
        <v>289</v>
      </c>
      <c r="F93" s="314" t="s">
        <v>968</v>
      </c>
      <c r="G93" s="99">
        <v>29498</v>
      </c>
      <c r="H93" s="99">
        <v>21694</v>
      </c>
      <c r="I93" s="91">
        <v>9773</v>
      </c>
      <c r="J93" s="91">
        <v>9773</v>
      </c>
      <c r="K93" s="91"/>
      <c r="L93" s="91"/>
      <c r="M93" s="91">
        <v>5000</v>
      </c>
      <c r="N93" s="91">
        <v>5000</v>
      </c>
      <c r="O93" s="91">
        <v>0</v>
      </c>
      <c r="P93" s="91"/>
      <c r="Q93" s="91">
        <v>3500</v>
      </c>
      <c r="R93" s="91">
        <v>3500</v>
      </c>
      <c r="S93" s="91">
        <v>5000</v>
      </c>
      <c r="T93" s="91">
        <v>5000</v>
      </c>
      <c r="U93" s="91">
        <v>5000</v>
      </c>
      <c r="V93" s="91">
        <v>5000</v>
      </c>
      <c r="W93" s="91">
        <v>4773</v>
      </c>
      <c r="X93" s="91">
        <v>4773</v>
      </c>
      <c r="Y93" s="91"/>
      <c r="Z93" s="91"/>
      <c r="AA93" s="343"/>
      <c r="AB93" s="314" t="s">
        <v>955</v>
      </c>
      <c r="AC93" s="335"/>
      <c r="AD93" s="355"/>
      <c r="AE93" s="335"/>
      <c r="AF93" s="356"/>
    </row>
    <row r="94" spans="1:32" s="289" customFormat="1" ht="56.25">
      <c r="A94" s="339">
        <v>15</v>
      </c>
      <c r="B94" s="322" t="s">
        <v>969</v>
      </c>
      <c r="C94" s="314" t="s">
        <v>445</v>
      </c>
      <c r="D94" s="314" t="s">
        <v>970</v>
      </c>
      <c r="E94" s="314" t="s">
        <v>289</v>
      </c>
      <c r="F94" s="314" t="s">
        <v>971</v>
      </c>
      <c r="G94" s="99">
        <v>19312</v>
      </c>
      <c r="H94" s="99">
        <v>13868</v>
      </c>
      <c r="I94" s="91">
        <v>6261</v>
      </c>
      <c r="J94" s="91">
        <v>6261</v>
      </c>
      <c r="K94" s="91"/>
      <c r="L94" s="91"/>
      <c r="M94" s="91">
        <v>3000</v>
      </c>
      <c r="N94" s="91">
        <v>3000</v>
      </c>
      <c r="O94" s="91">
        <v>0</v>
      </c>
      <c r="P94" s="91"/>
      <c r="Q94" s="91">
        <v>2100</v>
      </c>
      <c r="R94" s="91">
        <v>2100</v>
      </c>
      <c r="S94" s="91">
        <v>3000</v>
      </c>
      <c r="T94" s="91">
        <v>3000</v>
      </c>
      <c r="U94" s="91">
        <v>3000</v>
      </c>
      <c r="V94" s="91">
        <v>3000</v>
      </c>
      <c r="W94" s="91">
        <v>3261</v>
      </c>
      <c r="X94" s="91">
        <v>3261</v>
      </c>
      <c r="Y94" s="91"/>
      <c r="Z94" s="91"/>
      <c r="AA94" s="343"/>
      <c r="AB94" s="314" t="s">
        <v>955</v>
      </c>
      <c r="AC94" s="335"/>
      <c r="AD94" s="355"/>
      <c r="AE94" s="335"/>
      <c r="AF94" s="356"/>
    </row>
    <row r="95" spans="1:32" s="289" customFormat="1" ht="56.25">
      <c r="A95" s="339">
        <v>16</v>
      </c>
      <c r="B95" s="322" t="s">
        <v>972</v>
      </c>
      <c r="C95" s="314" t="s">
        <v>445</v>
      </c>
      <c r="D95" s="314" t="s">
        <v>973</v>
      </c>
      <c r="E95" s="314" t="s">
        <v>289</v>
      </c>
      <c r="F95" s="314" t="s">
        <v>974</v>
      </c>
      <c r="G95" s="99">
        <v>27856</v>
      </c>
      <c r="H95" s="99">
        <v>21482</v>
      </c>
      <c r="I95" s="91">
        <v>9382</v>
      </c>
      <c r="J95" s="91">
        <v>9382</v>
      </c>
      <c r="K95" s="91"/>
      <c r="L95" s="91"/>
      <c r="M95" s="91">
        <v>5000</v>
      </c>
      <c r="N95" s="91">
        <v>5000</v>
      </c>
      <c r="O95" s="91">
        <v>0</v>
      </c>
      <c r="P95" s="91"/>
      <c r="Q95" s="91">
        <v>3500</v>
      </c>
      <c r="R95" s="91">
        <v>3500</v>
      </c>
      <c r="S95" s="91">
        <v>5000</v>
      </c>
      <c r="T95" s="91">
        <v>5000</v>
      </c>
      <c r="U95" s="91">
        <v>5000</v>
      </c>
      <c r="V95" s="91">
        <v>5000</v>
      </c>
      <c r="W95" s="91">
        <v>4382</v>
      </c>
      <c r="X95" s="91">
        <v>4382</v>
      </c>
      <c r="Y95" s="91"/>
      <c r="Z95" s="91"/>
      <c r="AA95" s="343"/>
      <c r="AB95" s="314" t="s">
        <v>955</v>
      </c>
      <c r="AC95" s="335"/>
      <c r="AD95" s="355"/>
      <c r="AE95" s="335"/>
      <c r="AF95" s="356"/>
    </row>
    <row r="96" spans="1:32" s="289" customFormat="1" ht="75">
      <c r="A96" s="339">
        <v>17</v>
      </c>
      <c r="B96" s="322" t="s">
        <v>975</v>
      </c>
      <c r="C96" s="314" t="s">
        <v>976</v>
      </c>
      <c r="D96" s="314" t="s">
        <v>690</v>
      </c>
      <c r="E96" s="314" t="s">
        <v>305</v>
      </c>
      <c r="F96" s="314" t="s">
        <v>977</v>
      </c>
      <c r="G96" s="99">
        <v>8682</v>
      </c>
      <c r="H96" s="99">
        <v>6719</v>
      </c>
      <c r="I96" s="91">
        <v>6719</v>
      </c>
      <c r="J96" s="91">
        <v>6719</v>
      </c>
      <c r="K96" s="91"/>
      <c r="L96" s="91"/>
      <c r="M96" s="91">
        <v>3000</v>
      </c>
      <c r="N96" s="91">
        <v>3000</v>
      </c>
      <c r="O96" s="91">
        <v>2021</v>
      </c>
      <c r="P96" s="91">
        <v>2021</v>
      </c>
      <c r="Q96" s="91">
        <v>2100</v>
      </c>
      <c r="R96" s="91">
        <v>2100</v>
      </c>
      <c r="S96" s="91">
        <v>3000</v>
      </c>
      <c r="T96" s="91">
        <v>3000</v>
      </c>
      <c r="U96" s="91">
        <v>3000</v>
      </c>
      <c r="V96" s="91">
        <v>3000</v>
      </c>
      <c r="W96" s="91">
        <v>3719</v>
      </c>
      <c r="X96" s="91">
        <v>3719</v>
      </c>
      <c r="Y96" s="91"/>
      <c r="Z96" s="91"/>
      <c r="AA96" s="343"/>
      <c r="AB96" s="314" t="s">
        <v>955</v>
      </c>
      <c r="AC96" s="335"/>
      <c r="AD96" s="355"/>
      <c r="AE96" s="335"/>
      <c r="AF96" s="356"/>
    </row>
    <row r="97" spans="1:32" s="289" customFormat="1" ht="91.5" customHeight="1">
      <c r="A97" s="339">
        <v>18</v>
      </c>
      <c r="B97" s="322" t="s">
        <v>978</v>
      </c>
      <c r="C97" s="314" t="s">
        <v>976</v>
      </c>
      <c r="D97" s="314" t="s">
        <v>979</v>
      </c>
      <c r="E97" s="314" t="s">
        <v>257</v>
      </c>
      <c r="F97" s="314"/>
      <c r="G97" s="99">
        <v>156212</v>
      </c>
      <c r="H97" s="99">
        <v>123356</v>
      </c>
      <c r="I97" s="91">
        <v>73375</v>
      </c>
      <c r="J97" s="91">
        <v>73375</v>
      </c>
      <c r="K97" s="91"/>
      <c r="L97" s="91"/>
      <c r="M97" s="91"/>
      <c r="N97" s="91"/>
      <c r="O97" s="91"/>
      <c r="P97" s="91"/>
      <c r="Q97" s="91"/>
      <c r="R97" s="91"/>
      <c r="S97" s="91"/>
      <c r="T97" s="91"/>
      <c r="U97" s="91">
        <v>0</v>
      </c>
      <c r="V97" s="91"/>
      <c r="W97" s="91">
        <v>7000</v>
      </c>
      <c r="X97" s="91">
        <v>7000</v>
      </c>
      <c r="Y97" s="91"/>
      <c r="Z97" s="91"/>
      <c r="AA97" s="343"/>
      <c r="AB97" s="314" t="s">
        <v>955</v>
      </c>
      <c r="AC97" s="335"/>
      <c r="AD97" s="355"/>
      <c r="AE97" s="335"/>
      <c r="AF97" s="356"/>
    </row>
    <row r="98" spans="1:32" s="289" customFormat="1" ht="56.25">
      <c r="A98" s="339">
        <v>19</v>
      </c>
      <c r="B98" s="322" t="s">
        <v>980</v>
      </c>
      <c r="C98" s="314" t="s">
        <v>445</v>
      </c>
      <c r="D98" s="314" t="s">
        <v>981</v>
      </c>
      <c r="E98" s="314" t="s">
        <v>230</v>
      </c>
      <c r="F98" s="314" t="s">
        <v>982</v>
      </c>
      <c r="G98" s="99">
        <v>20278</v>
      </c>
      <c r="H98" s="99">
        <v>15161</v>
      </c>
      <c r="I98" s="91">
        <v>13645</v>
      </c>
      <c r="J98" s="91">
        <v>13645</v>
      </c>
      <c r="K98" s="91"/>
      <c r="L98" s="91"/>
      <c r="M98" s="91">
        <v>9000</v>
      </c>
      <c r="N98" s="91">
        <v>9000</v>
      </c>
      <c r="O98" s="91">
        <v>0</v>
      </c>
      <c r="P98" s="91"/>
      <c r="Q98" s="91">
        <v>6300</v>
      </c>
      <c r="R98" s="91">
        <v>6300</v>
      </c>
      <c r="S98" s="91">
        <v>9000</v>
      </c>
      <c r="T98" s="91">
        <v>9000</v>
      </c>
      <c r="U98" s="91">
        <v>9000</v>
      </c>
      <c r="V98" s="91">
        <v>9000</v>
      </c>
      <c r="W98" s="91">
        <v>4645</v>
      </c>
      <c r="X98" s="91">
        <v>4645</v>
      </c>
      <c r="Y98" s="91"/>
      <c r="Z98" s="91"/>
      <c r="AA98" s="343"/>
      <c r="AB98" s="314" t="s">
        <v>955</v>
      </c>
      <c r="AC98" s="335"/>
      <c r="AD98" s="355"/>
      <c r="AE98" s="335"/>
      <c r="AF98" s="356"/>
    </row>
    <row r="99" spans="1:32" s="289" customFormat="1" ht="37.5">
      <c r="A99" s="339">
        <v>20</v>
      </c>
      <c r="B99" s="322" t="s">
        <v>983</v>
      </c>
      <c r="C99" s="314"/>
      <c r="D99" s="314"/>
      <c r="E99" s="314"/>
      <c r="F99" s="314"/>
      <c r="G99" s="99">
        <v>28729</v>
      </c>
      <c r="H99" s="99">
        <v>26535</v>
      </c>
      <c r="I99" s="91">
        <v>9535</v>
      </c>
      <c r="J99" s="91">
        <v>9535</v>
      </c>
      <c r="K99" s="91"/>
      <c r="L99" s="91"/>
      <c r="M99" s="91">
        <v>0</v>
      </c>
      <c r="N99" s="91"/>
      <c r="O99" s="91">
        <v>0</v>
      </c>
      <c r="P99" s="91"/>
      <c r="Q99" s="91">
        <v>0</v>
      </c>
      <c r="R99" s="91">
        <v>0</v>
      </c>
      <c r="S99" s="91">
        <v>0</v>
      </c>
      <c r="T99" s="91">
        <v>0</v>
      </c>
      <c r="U99" s="91">
        <v>0</v>
      </c>
      <c r="V99" s="91"/>
      <c r="W99" s="91">
        <v>2000</v>
      </c>
      <c r="X99" s="91">
        <v>2000</v>
      </c>
      <c r="Y99" s="91"/>
      <c r="Z99" s="91"/>
      <c r="AA99" s="343"/>
      <c r="AB99" s="314" t="s">
        <v>955</v>
      </c>
      <c r="AC99" s="335"/>
      <c r="AD99" s="355"/>
      <c r="AE99" s="335"/>
      <c r="AF99" s="356"/>
    </row>
    <row r="100" spans="1:32" s="289" customFormat="1" ht="37.5">
      <c r="A100" s="339">
        <v>21</v>
      </c>
      <c r="B100" s="322" t="s">
        <v>984</v>
      </c>
      <c r="C100" s="314"/>
      <c r="D100" s="314"/>
      <c r="E100" s="314"/>
      <c r="F100" s="314"/>
      <c r="G100" s="99">
        <v>30653</v>
      </c>
      <c r="H100" s="99">
        <v>22786</v>
      </c>
      <c r="I100" s="91">
        <v>10480</v>
      </c>
      <c r="J100" s="91">
        <v>10480</v>
      </c>
      <c r="K100" s="91"/>
      <c r="L100" s="91"/>
      <c r="M100" s="91">
        <v>0</v>
      </c>
      <c r="N100" s="91"/>
      <c r="O100" s="91">
        <v>0</v>
      </c>
      <c r="P100" s="91"/>
      <c r="Q100" s="91">
        <v>0</v>
      </c>
      <c r="R100" s="91">
        <v>0</v>
      </c>
      <c r="S100" s="91">
        <v>0</v>
      </c>
      <c r="T100" s="91">
        <v>0</v>
      </c>
      <c r="U100" s="91">
        <v>0</v>
      </c>
      <c r="V100" s="91"/>
      <c r="W100" s="91">
        <v>10480</v>
      </c>
      <c r="X100" s="91">
        <v>10480</v>
      </c>
      <c r="Y100" s="91"/>
      <c r="Z100" s="91"/>
      <c r="AA100" s="343"/>
      <c r="AB100" s="314" t="s">
        <v>955</v>
      </c>
      <c r="AC100" s="335"/>
      <c r="AD100" s="355"/>
      <c r="AE100" s="335"/>
      <c r="AF100" s="356"/>
    </row>
    <row r="101" spans="1:32" s="289" customFormat="1" ht="56.25">
      <c r="A101" s="339">
        <v>22</v>
      </c>
      <c r="B101" s="322" t="s">
        <v>1027</v>
      </c>
      <c r="C101" s="314" t="s">
        <v>1028</v>
      </c>
      <c r="D101" s="314" t="s">
        <v>1029</v>
      </c>
      <c r="E101" s="314" t="s">
        <v>230</v>
      </c>
      <c r="F101" s="314" t="s">
        <v>1030</v>
      </c>
      <c r="G101" s="99">
        <v>28905</v>
      </c>
      <c r="H101" s="99">
        <v>23195</v>
      </c>
      <c r="I101" s="91">
        <v>20880</v>
      </c>
      <c r="J101" s="91">
        <v>20880</v>
      </c>
      <c r="K101" s="91"/>
      <c r="L101" s="91"/>
      <c r="M101" s="91">
        <v>10000</v>
      </c>
      <c r="N101" s="91">
        <v>10000</v>
      </c>
      <c r="O101" s="91">
        <v>0</v>
      </c>
      <c r="P101" s="91"/>
      <c r="Q101" s="91">
        <v>6500</v>
      </c>
      <c r="R101" s="91">
        <v>6500</v>
      </c>
      <c r="S101" s="91">
        <v>6500</v>
      </c>
      <c r="T101" s="91">
        <v>6500</v>
      </c>
      <c r="U101" s="91">
        <v>10000</v>
      </c>
      <c r="V101" s="91">
        <v>10000</v>
      </c>
      <c r="W101" s="91">
        <v>10880</v>
      </c>
      <c r="X101" s="91">
        <v>10880</v>
      </c>
      <c r="Y101" s="91"/>
      <c r="Z101" s="91"/>
      <c r="AA101" s="343"/>
      <c r="AB101" s="314" t="s">
        <v>1002</v>
      </c>
      <c r="AC101" s="335"/>
      <c r="AD101" s="355"/>
      <c r="AE101" s="335"/>
      <c r="AF101" s="356"/>
    </row>
    <row r="102" spans="1:32" s="289" customFormat="1" ht="56.25">
      <c r="A102" s="339">
        <v>23</v>
      </c>
      <c r="B102" s="322" t="s">
        <v>1032</v>
      </c>
      <c r="C102" s="314" t="s">
        <v>1004</v>
      </c>
      <c r="D102" s="314" t="s">
        <v>1017</v>
      </c>
      <c r="E102" s="314" t="s">
        <v>230</v>
      </c>
      <c r="F102" s="314" t="s">
        <v>1033</v>
      </c>
      <c r="G102" s="99">
        <v>35938</v>
      </c>
      <c r="H102" s="99">
        <v>28310</v>
      </c>
      <c r="I102" s="91">
        <v>22732</v>
      </c>
      <c r="J102" s="91">
        <v>22732</v>
      </c>
      <c r="K102" s="91"/>
      <c r="L102" s="91"/>
      <c r="M102" s="91">
        <v>10000</v>
      </c>
      <c r="N102" s="91">
        <v>10000</v>
      </c>
      <c r="O102" s="91">
        <v>0</v>
      </c>
      <c r="P102" s="91"/>
      <c r="Q102" s="91">
        <v>7000</v>
      </c>
      <c r="R102" s="91">
        <v>7000</v>
      </c>
      <c r="S102" s="91">
        <v>7000</v>
      </c>
      <c r="T102" s="91">
        <v>7000</v>
      </c>
      <c r="U102" s="91">
        <v>10000</v>
      </c>
      <c r="V102" s="91">
        <v>10000</v>
      </c>
      <c r="W102" s="91">
        <v>15732</v>
      </c>
      <c r="X102" s="91">
        <v>15732</v>
      </c>
      <c r="Y102" s="91"/>
      <c r="Z102" s="91"/>
      <c r="AA102" s="343"/>
      <c r="AB102" s="314" t="s">
        <v>1002</v>
      </c>
      <c r="AC102" s="335"/>
      <c r="AD102" s="355"/>
      <c r="AE102" s="335"/>
      <c r="AF102" s="356"/>
    </row>
    <row r="103" spans="1:32" s="289" customFormat="1" ht="125.25" customHeight="1">
      <c r="A103" s="339">
        <v>24</v>
      </c>
      <c r="B103" s="322" t="s">
        <v>1035</v>
      </c>
      <c r="C103" s="314" t="s">
        <v>1012</v>
      </c>
      <c r="D103" s="314" t="s">
        <v>1036</v>
      </c>
      <c r="E103" s="314" t="s">
        <v>312</v>
      </c>
      <c r="F103" s="314" t="s">
        <v>1037</v>
      </c>
      <c r="G103" s="99">
        <v>26826</v>
      </c>
      <c r="H103" s="99">
        <v>20926</v>
      </c>
      <c r="I103" s="91">
        <v>16712</v>
      </c>
      <c r="J103" s="91">
        <v>16712</v>
      </c>
      <c r="K103" s="91"/>
      <c r="L103" s="91"/>
      <c r="M103" s="91">
        <v>0</v>
      </c>
      <c r="N103" s="91"/>
      <c r="O103" s="91">
        <v>0</v>
      </c>
      <c r="P103" s="91"/>
      <c r="Q103" s="91">
        <v>0</v>
      </c>
      <c r="R103" s="91"/>
      <c r="S103" s="91">
        <v>0</v>
      </c>
      <c r="T103" s="91">
        <v>0</v>
      </c>
      <c r="U103" s="91">
        <v>0</v>
      </c>
      <c r="V103" s="91"/>
      <c r="W103" s="91">
        <v>13712</v>
      </c>
      <c r="X103" s="91">
        <v>13712</v>
      </c>
      <c r="Y103" s="91"/>
      <c r="Z103" s="91"/>
      <c r="AA103" s="343"/>
      <c r="AB103" s="314" t="s">
        <v>1002</v>
      </c>
      <c r="AC103" s="335"/>
      <c r="AD103" s="355"/>
      <c r="AE103" s="335"/>
      <c r="AF103" s="356"/>
    </row>
    <row r="104" spans="1:32" s="289" customFormat="1" ht="103.5" customHeight="1">
      <c r="A104" s="339">
        <v>25</v>
      </c>
      <c r="B104" s="322" t="s">
        <v>1039</v>
      </c>
      <c r="C104" s="314" t="s">
        <v>1012</v>
      </c>
      <c r="D104" s="314" t="s">
        <v>1040</v>
      </c>
      <c r="E104" s="314" t="s">
        <v>312</v>
      </c>
      <c r="F104" s="314" t="s">
        <v>1041</v>
      </c>
      <c r="G104" s="99">
        <v>13670</v>
      </c>
      <c r="H104" s="99">
        <v>10788</v>
      </c>
      <c r="I104" s="91">
        <v>11458</v>
      </c>
      <c r="J104" s="91">
        <v>11458</v>
      </c>
      <c r="K104" s="91"/>
      <c r="L104" s="91"/>
      <c r="M104" s="91"/>
      <c r="N104" s="91"/>
      <c r="O104" s="91"/>
      <c r="P104" s="91"/>
      <c r="Q104" s="91"/>
      <c r="R104" s="91"/>
      <c r="S104" s="91"/>
      <c r="T104" s="91"/>
      <c r="U104" s="91"/>
      <c r="V104" s="91"/>
      <c r="W104" s="91">
        <v>8958</v>
      </c>
      <c r="X104" s="91">
        <v>8958</v>
      </c>
      <c r="Y104" s="91"/>
      <c r="Z104" s="91"/>
      <c r="AA104" s="343"/>
      <c r="AB104" s="314" t="s">
        <v>1002</v>
      </c>
      <c r="AC104" s="335"/>
      <c r="AD104" s="355"/>
      <c r="AE104" s="335"/>
      <c r="AF104" s="356"/>
    </row>
    <row r="105" spans="1:32" s="289" customFormat="1" ht="103.5" customHeight="1">
      <c r="A105" s="339">
        <v>26</v>
      </c>
      <c r="B105" s="322" t="s">
        <v>1096</v>
      </c>
      <c r="C105" s="314" t="s">
        <v>465</v>
      </c>
      <c r="D105" s="314" t="s">
        <v>1097</v>
      </c>
      <c r="E105" s="314" t="s">
        <v>312</v>
      </c>
      <c r="F105" s="314" t="s">
        <v>1098</v>
      </c>
      <c r="G105" s="99">
        <v>33405</v>
      </c>
      <c r="H105" s="99">
        <v>29238</v>
      </c>
      <c r="I105" s="91">
        <v>21264.678197435001</v>
      </c>
      <c r="J105" s="91">
        <v>21264.678197435001</v>
      </c>
      <c r="K105" s="91"/>
      <c r="L105" s="91"/>
      <c r="M105" s="91">
        <v>16000</v>
      </c>
      <c r="N105" s="91">
        <v>16000</v>
      </c>
      <c r="O105" s="91">
        <v>2471</v>
      </c>
      <c r="P105" s="91">
        <v>2471</v>
      </c>
      <c r="Q105" s="91">
        <v>4600</v>
      </c>
      <c r="R105" s="91">
        <v>4600</v>
      </c>
      <c r="S105" s="91">
        <v>14200</v>
      </c>
      <c r="T105" s="91">
        <v>14200</v>
      </c>
      <c r="U105" s="91">
        <v>21000</v>
      </c>
      <c r="V105" s="91">
        <v>21000</v>
      </c>
      <c r="W105" s="91">
        <v>265</v>
      </c>
      <c r="X105" s="91">
        <v>265</v>
      </c>
      <c r="Y105" s="91"/>
      <c r="Z105" s="91"/>
      <c r="AA105" s="343"/>
      <c r="AB105" s="314" t="s">
        <v>1079</v>
      </c>
      <c r="AC105" s="335"/>
      <c r="AD105" s="355"/>
      <c r="AE105" s="335"/>
      <c r="AF105" s="356"/>
    </row>
    <row r="106" spans="1:32" s="289" customFormat="1" ht="103.5" customHeight="1">
      <c r="A106" s="339">
        <v>27</v>
      </c>
      <c r="B106" s="322" t="s">
        <v>1099</v>
      </c>
      <c r="C106" s="314" t="s">
        <v>465</v>
      </c>
      <c r="D106" s="314" t="s">
        <v>1100</v>
      </c>
      <c r="E106" s="314" t="s">
        <v>257</v>
      </c>
      <c r="F106" s="314" t="s">
        <v>1101</v>
      </c>
      <c r="G106" s="99">
        <v>158447</v>
      </c>
      <c r="H106" s="99">
        <v>125670</v>
      </c>
      <c r="I106" s="91">
        <v>102355</v>
      </c>
      <c r="J106" s="91">
        <v>102355</v>
      </c>
      <c r="K106" s="91"/>
      <c r="L106" s="91"/>
      <c r="M106" s="91">
        <v>98355</v>
      </c>
      <c r="N106" s="91">
        <v>98355</v>
      </c>
      <c r="O106" s="91">
        <v>6782</v>
      </c>
      <c r="P106" s="91">
        <v>6782</v>
      </c>
      <c r="Q106" s="91">
        <v>33000</v>
      </c>
      <c r="R106" s="91">
        <v>33000</v>
      </c>
      <c r="S106" s="91">
        <v>89155</v>
      </c>
      <c r="T106" s="91">
        <v>89155</v>
      </c>
      <c r="U106" s="91">
        <v>102355</v>
      </c>
      <c r="V106" s="91">
        <v>102355</v>
      </c>
      <c r="W106" s="91">
        <v>0</v>
      </c>
      <c r="X106" s="91"/>
      <c r="Y106" s="91"/>
      <c r="Z106" s="91"/>
      <c r="AA106" s="343"/>
      <c r="AB106" s="314" t="s">
        <v>1079</v>
      </c>
      <c r="AC106" s="335"/>
      <c r="AD106" s="355"/>
      <c r="AE106" s="335"/>
      <c r="AF106" s="356"/>
    </row>
    <row r="107" spans="1:32" s="289" customFormat="1" ht="37.5">
      <c r="A107" s="303" t="s">
        <v>23</v>
      </c>
      <c r="B107" s="304" t="s">
        <v>110</v>
      </c>
      <c r="C107" s="313"/>
      <c r="D107" s="327"/>
      <c r="E107" s="318"/>
      <c r="F107" s="331"/>
      <c r="G107" s="114">
        <f t="shared" ref="G107:Z107" si="38">G108+G114</f>
        <v>1339299</v>
      </c>
      <c r="H107" s="114">
        <f t="shared" si="38"/>
        <v>1049554</v>
      </c>
      <c r="I107" s="114">
        <f t="shared" si="38"/>
        <v>733353</v>
      </c>
      <c r="J107" s="114">
        <f t="shared" si="38"/>
        <v>733353</v>
      </c>
      <c r="K107" s="114">
        <f t="shared" si="38"/>
        <v>0</v>
      </c>
      <c r="L107" s="114">
        <f t="shared" si="38"/>
        <v>0</v>
      </c>
      <c r="M107" s="114">
        <f t="shared" si="38"/>
        <v>196736</v>
      </c>
      <c r="N107" s="114">
        <f t="shared" si="38"/>
        <v>190736</v>
      </c>
      <c r="O107" s="114">
        <f t="shared" si="38"/>
        <v>47994.32</v>
      </c>
      <c r="P107" s="114">
        <f t="shared" si="38"/>
        <v>45029.32</v>
      </c>
      <c r="Q107" s="114">
        <f t="shared" si="38"/>
        <v>102785</v>
      </c>
      <c r="R107" s="114">
        <f t="shared" si="38"/>
        <v>102785</v>
      </c>
      <c r="S107" s="114">
        <f t="shared" si="38"/>
        <v>203214</v>
      </c>
      <c r="T107" s="114">
        <f t="shared" si="38"/>
        <v>203214</v>
      </c>
      <c r="U107" s="114">
        <f t="shared" si="38"/>
        <v>230428.99</v>
      </c>
      <c r="V107" s="114">
        <f t="shared" si="38"/>
        <v>224428.99</v>
      </c>
      <c r="W107" s="114">
        <f t="shared" si="38"/>
        <v>341788</v>
      </c>
      <c r="X107" s="114">
        <f t="shared" si="38"/>
        <v>341788</v>
      </c>
      <c r="Y107" s="114">
        <f t="shared" si="38"/>
        <v>0</v>
      </c>
      <c r="Z107" s="114">
        <f t="shared" si="38"/>
        <v>0</v>
      </c>
      <c r="AA107" s="110"/>
      <c r="AB107" s="110"/>
      <c r="AC107" s="335"/>
      <c r="AD107" s="355"/>
      <c r="AE107" s="335"/>
      <c r="AF107" s="356"/>
    </row>
    <row r="108" spans="1:32" s="289" customFormat="1" ht="19.5">
      <c r="A108" s="307" t="s">
        <v>45</v>
      </c>
      <c r="B108" s="308" t="s">
        <v>18</v>
      </c>
      <c r="C108" s="313"/>
      <c r="D108" s="327"/>
      <c r="E108" s="318"/>
      <c r="F108" s="331"/>
      <c r="G108" s="114">
        <f>SUM(G109:G113)</f>
        <v>352950</v>
      </c>
      <c r="H108" s="114">
        <f t="shared" ref="H108:Z108" si="39">SUM(H109:H113)</f>
        <v>310172</v>
      </c>
      <c r="I108" s="114">
        <f t="shared" si="39"/>
        <v>189192</v>
      </c>
      <c r="J108" s="114">
        <f t="shared" si="39"/>
        <v>189192</v>
      </c>
      <c r="K108" s="114">
        <f t="shared" si="39"/>
        <v>0</v>
      </c>
      <c r="L108" s="114">
        <f t="shared" si="39"/>
        <v>0</v>
      </c>
      <c r="M108" s="114">
        <f t="shared" si="39"/>
        <v>104621</v>
      </c>
      <c r="N108" s="114">
        <f t="shared" si="39"/>
        <v>104621</v>
      </c>
      <c r="O108" s="114">
        <f t="shared" si="39"/>
        <v>29123.32</v>
      </c>
      <c r="P108" s="114">
        <f t="shared" si="39"/>
        <v>29123.32</v>
      </c>
      <c r="Q108" s="114">
        <f t="shared" si="39"/>
        <v>66280</v>
      </c>
      <c r="R108" s="114">
        <f t="shared" si="39"/>
        <v>66280</v>
      </c>
      <c r="S108" s="114">
        <f t="shared" si="39"/>
        <v>108147</v>
      </c>
      <c r="T108" s="114">
        <f t="shared" si="39"/>
        <v>108147</v>
      </c>
      <c r="U108" s="114">
        <f t="shared" si="39"/>
        <v>124395.99</v>
      </c>
      <c r="V108" s="114">
        <f t="shared" si="39"/>
        <v>124395.99</v>
      </c>
      <c r="W108" s="114">
        <f t="shared" si="39"/>
        <v>93083</v>
      </c>
      <c r="X108" s="114">
        <f t="shared" si="39"/>
        <v>93083</v>
      </c>
      <c r="Y108" s="114">
        <f t="shared" si="39"/>
        <v>0</v>
      </c>
      <c r="Z108" s="114">
        <f t="shared" si="39"/>
        <v>0</v>
      </c>
      <c r="AA108" s="110"/>
      <c r="AB108" s="110"/>
      <c r="AC108" s="335"/>
      <c r="AD108" s="355"/>
      <c r="AE108" s="335"/>
      <c r="AF108" s="356"/>
    </row>
    <row r="109" spans="1:32" s="289" customFormat="1" ht="123.75" customHeight="1">
      <c r="A109" s="311" t="s">
        <v>436</v>
      </c>
      <c r="B109" s="312" t="s">
        <v>437</v>
      </c>
      <c r="C109" s="313" t="s">
        <v>438</v>
      </c>
      <c r="D109" s="313" t="s">
        <v>439</v>
      </c>
      <c r="E109" s="313" t="s">
        <v>440</v>
      </c>
      <c r="F109" s="313" t="s">
        <v>441</v>
      </c>
      <c r="G109" s="106">
        <v>61417</v>
      </c>
      <c r="H109" s="106">
        <v>61417</v>
      </c>
      <c r="I109" s="106">
        <v>20638</v>
      </c>
      <c r="J109" s="106">
        <v>20638</v>
      </c>
      <c r="K109" s="106"/>
      <c r="L109" s="106"/>
      <c r="M109" s="106">
        <v>15442</v>
      </c>
      <c r="N109" s="106">
        <v>15442</v>
      </c>
      <c r="O109" s="106">
        <v>562.32000000000005</v>
      </c>
      <c r="P109" s="106">
        <v>562.32000000000005</v>
      </c>
      <c r="Q109" s="106">
        <v>15442</v>
      </c>
      <c r="R109" s="106">
        <v>15442</v>
      </c>
      <c r="S109" s="106">
        <v>18968</v>
      </c>
      <c r="T109" s="106">
        <v>18968</v>
      </c>
      <c r="U109" s="106">
        <v>16834.638999999999</v>
      </c>
      <c r="V109" s="106">
        <v>16834.638999999999</v>
      </c>
      <c r="W109" s="106">
        <v>25105</v>
      </c>
      <c r="X109" s="106">
        <v>25105</v>
      </c>
      <c r="Y109" s="106"/>
      <c r="Z109" s="106"/>
      <c r="AA109" s="313" t="s">
        <v>442</v>
      </c>
      <c r="AB109" s="314" t="s">
        <v>593</v>
      </c>
      <c r="AC109" s="335"/>
      <c r="AD109" s="355"/>
      <c r="AE109" s="335"/>
      <c r="AF109" s="356"/>
    </row>
    <row r="110" spans="1:32" s="289" customFormat="1" ht="123.75" customHeight="1">
      <c r="A110" s="311" t="s">
        <v>443</v>
      </c>
      <c r="B110" s="325" t="s">
        <v>444</v>
      </c>
      <c r="C110" s="313" t="s">
        <v>445</v>
      </c>
      <c r="D110" s="313" t="s">
        <v>446</v>
      </c>
      <c r="E110" s="313" t="s">
        <v>305</v>
      </c>
      <c r="F110" s="313" t="s">
        <v>447</v>
      </c>
      <c r="G110" s="106">
        <v>85969</v>
      </c>
      <c r="H110" s="106">
        <v>85969</v>
      </c>
      <c r="I110" s="106">
        <f>+J110</f>
        <v>46397</v>
      </c>
      <c r="J110" s="106">
        <v>46397</v>
      </c>
      <c r="K110" s="106"/>
      <c r="L110" s="106"/>
      <c r="M110" s="106">
        <f>N110</f>
        <v>20000</v>
      </c>
      <c r="N110" s="106">
        <v>20000</v>
      </c>
      <c r="O110" s="106">
        <f>+P110</f>
        <v>2083</v>
      </c>
      <c r="P110" s="106">
        <v>2083</v>
      </c>
      <c r="Q110" s="106">
        <f>+R110</f>
        <v>12083</v>
      </c>
      <c r="R110" s="106">
        <f>+P110+10000</f>
        <v>12083</v>
      </c>
      <c r="S110" s="106">
        <f>+T110</f>
        <v>20000</v>
      </c>
      <c r="T110" s="106">
        <v>20000</v>
      </c>
      <c r="U110" s="106">
        <f>+V110</f>
        <v>33382.351000000002</v>
      </c>
      <c r="V110" s="106">
        <v>33382.351000000002</v>
      </c>
      <c r="W110" s="106">
        <f>+X110</f>
        <v>20000</v>
      </c>
      <c r="X110" s="106">
        <v>20000</v>
      </c>
      <c r="Y110" s="106">
        <v>0</v>
      </c>
      <c r="Z110" s="106"/>
      <c r="AA110" s="315"/>
      <c r="AB110" s="314" t="s">
        <v>593</v>
      </c>
      <c r="AC110" s="335"/>
      <c r="AD110" s="355"/>
      <c r="AE110" s="335"/>
      <c r="AF110" s="356"/>
    </row>
    <row r="111" spans="1:32" s="289" customFormat="1" ht="123.75" customHeight="1">
      <c r="A111" s="311" t="s">
        <v>13</v>
      </c>
      <c r="B111" s="325" t="s">
        <v>771</v>
      </c>
      <c r="C111" s="313" t="s">
        <v>210</v>
      </c>
      <c r="D111" s="313" t="s">
        <v>769</v>
      </c>
      <c r="E111" s="313" t="s">
        <v>257</v>
      </c>
      <c r="F111" s="313" t="s">
        <v>772</v>
      </c>
      <c r="G111" s="106">
        <v>109890</v>
      </c>
      <c r="H111" s="106">
        <v>88925</v>
      </c>
      <c r="I111" s="106">
        <v>88925</v>
      </c>
      <c r="J111" s="106">
        <v>88925</v>
      </c>
      <c r="K111" s="106">
        <v>0</v>
      </c>
      <c r="L111" s="106">
        <v>0</v>
      </c>
      <c r="M111" s="106">
        <v>55179</v>
      </c>
      <c r="N111" s="106">
        <v>55179</v>
      </c>
      <c r="O111" s="106">
        <v>19951</v>
      </c>
      <c r="P111" s="106">
        <v>19951</v>
      </c>
      <c r="Q111" s="106">
        <v>24755</v>
      </c>
      <c r="R111" s="106">
        <v>24755</v>
      </c>
      <c r="S111" s="106">
        <v>55179</v>
      </c>
      <c r="T111" s="106">
        <v>55179</v>
      </c>
      <c r="U111" s="106">
        <v>57179</v>
      </c>
      <c r="V111" s="106">
        <v>57179</v>
      </c>
      <c r="W111" s="106">
        <v>31746</v>
      </c>
      <c r="X111" s="106">
        <v>31746</v>
      </c>
      <c r="Y111" s="106">
        <v>0</v>
      </c>
      <c r="Z111" s="106">
        <v>0</v>
      </c>
      <c r="AA111" s="315"/>
      <c r="AB111" s="314" t="s">
        <v>761</v>
      </c>
      <c r="AC111" s="335"/>
      <c r="AD111" s="355"/>
      <c r="AE111" s="335"/>
      <c r="AF111" s="356"/>
    </row>
    <row r="112" spans="1:32" s="289" customFormat="1" ht="123.75" customHeight="1">
      <c r="A112" s="311" t="s">
        <v>0</v>
      </c>
      <c r="B112" s="325" t="s">
        <v>773</v>
      </c>
      <c r="C112" s="313" t="s">
        <v>210</v>
      </c>
      <c r="D112" s="313" t="s">
        <v>774</v>
      </c>
      <c r="E112" s="313" t="s">
        <v>305</v>
      </c>
      <c r="F112" s="313" t="s">
        <v>775</v>
      </c>
      <c r="G112" s="106">
        <v>51752</v>
      </c>
      <c r="H112" s="106">
        <v>38875</v>
      </c>
      <c r="I112" s="106">
        <v>17494</v>
      </c>
      <c r="J112" s="106">
        <v>17494</v>
      </c>
      <c r="K112" s="106">
        <v>0</v>
      </c>
      <c r="L112" s="106">
        <v>0</v>
      </c>
      <c r="M112" s="106">
        <v>14000</v>
      </c>
      <c r="N112" s="106">
        <v>14000</v>
      </c>
      <c r="O112" s="106">
        <v>6527</v>
      </c>
      <c r="P112" s="106">
        <v>6527</v>
      </c>
      <c r="Q112" s="106">
        <v>14000</v>
      </c>
      <c r="R112" s="106">
        <v>14000</v>
      </c>
      <c r="S112" s="106">
        <v>14000</v>
      </c>
      <c r="T112" s="106">
        <v>14000</v>
      </c>
      <c r="U112" s="106">
        <v>17000</v>
      </c>
      <c r="V112" s="106">
        <v>17000</v>
      </c>
      <c r="W112" s="106">
        <v>494</v>
      </c>
      <c r="X112" s="106">
        <v>494</v>
      </c>
      <c r="Y112" s="106">
        <v>0</v>
      </c>
      <c r="Z112" s="106">
        <v>0</v>
      </c>
      <c r="AA112" s="315"/>
      <c r="AB112" s="314" t="s">
        <v>761</v>
      </c>
      <c r="AC112" s="335"/>
      <c r="AD112" s="355"/>
      <c r="AE112" s="335"/>
      <c r="AF112" s="356"/>
    </row>
    <row r="113" spans="1:32" s="289" customFormat="1" ht="123.75" customHeight="1">
      <c r="A113" s="311" t="s">
        <v>5</v>
      </c>
      <c r="B113" s="325" t="s">
        <v>776</v>
      </c>
      <c r="C113" s="313" t="s">
        <v>210</v>
      </c>
      <c r="D113" s="313" t="s">
        <v>777</v>
      </c>
      <c r="E113" s="313" t="s">
        <v>289</v>
      </c>
      <c r="F113" s="313" t="s">
        <v>778</v>
      </c>
      <c r="G113" s="106">
        <v>43922</v>
      </c>
      <c r="H113" s="106">
        <v>34986</v>
      </c>
      <c r="I113" s="106">
        <v>15738</v>
      </c>
      <c r="J113" s="106">
        <v>15738</v>
      </c>
      <c r="K113" s="106">
        <v>0</v>
      </c>
      <c r="L113" s="106">
        <v>0</v>
      </c>
      <c r="M113" s="106">
        <v>0</v>
      </c>
      <c r="N113" s="106">
        <v>0</v>
      </c>
      <c r="O113" s="106">
        <v>0</v>
      </c>
      <c r="P113" s="106">
        <v>0</v>
      </c>
      <c r="Q113" s="106">
        <v>0</v>
      </c>
      <c r="R113" s="106">
        <v>0</v>
      </c>
      <c r="S113" s="106">
        <v>0</v>
      </c>
      <c r="T113" s="106">
        <v>0</v>
      </c>
      <c r="U113" s="106">
        <v>0</v>
      </c>
      <c r="V113" s="106">
        <v>0</v>
      </c>
      <c r="W113" s="106">
        <v>15738</v>
      </c>
      <c r="X113" s="106">
        <v>15738</v>
      </c>
      <c r="Y113" s="106">
        <v>0</v>
      </c>
      <c r="Z113" s="106">
        <v>0</v>
      </c>
      <c r="AA113" s="315"/>
      <c r="AB113" s="314" t="s">
        <v>761</v>
      </c>
      <c r="AC113" s="335"/>
      <c r="AD113" s="355"/>
      <c r="AE113" s="335"/>
      <c r="AF113" s="356"/>
    </row>
    <row r="114" spans="1:32" s="289" customFormat="1" ht="19.5">
      <c r="A114" s="336" t="s">
        <v>19</v>
      </c>
      <c r="B114" s="308" t="s">
        <v>20</v>
      </c>
      <c r="C114" s="313"/>
      <c r="D114" s="327"/>
      <c r="E114" s="318"/>
      <c r="F114" s="331"/>
      <c r="G114" s="114">
        <f>SUM(G115:G141)</f>
        <v>986349</v>
      </c>
      <c r="H114" s="114">
        <f t="shared" ref="H114:Z114" si="40">SUM(H115:H141)</f>
        <v>739382</v>
      </c>
      <c r="I114" s="114">
        <f t="shared" si="40"/>
        <v>544161</v>
      </c>
      <c r="J114" s="114">
        <f t="shared" si="40"/>
        <v>544161</v>
      </c>
      <c r="K114" s="114">
        <f t="shared" si="40"/>
        <v>0</v>
      </c>
      <c r="L114" s="114">
        <f t="shared" si="40"/>
        <v>0</v>
      </c>
      <c r="M114" s="114">
        <f t="shared" si="40"/>
        <v>92115</v>
      </c>
      <c r="N114" s="114">
        <f t="shared" si="40"/>
        <v>86115</v>
      </c>
      <c r="O114" s="114">
        <f t="shared" si="40"/>
        <v>18871</v>
      </c>
      <c r="P114" s="114">
        <f t="shared" si="40"/>
        <v>15906</v>
      </c>
      <c r="Q114" s="114">
        <f t="shared" si="40"/>
        <v>36505</v>
      </c>
      <c r="R114" s="114">
        <f t="shared" si="40"/>
        <v>36505</v>
      </c>
      <c r="S114" s="114">
        <f t="shared" si="40"/>
        <v>95067</v>
      </c>
      <c r="T114" s="114">
        <f t="shared" si="40"/>
        <v>95067</v>
      </c>
      <c r="U114" s="114">
        <f t="shared" si="40"/>
        <v>106033</v>
      </c>
      <c r="V114" s="114">
        <f t="shared" si="40"/>
        <v>100033</v>
      </c>
      <c r="W114" s="114">
        <f t="shared" si="40"/>
        <v>248705</v>
      </c>
      <c r="X114" s="114">
        <f t="shared" si="40"/>
        <v>248705</v>
      </c>
      <c r="Y114" s="114">
        <f t="shared" si="40"/>
        <v>0</v>
      </c>
      <c r="Z114" s="114">
        <f t="shared" si="40"/>
        <v>0</v>
      </c>
      <c r="AA114" s="110"/>
      <c r="AB114" s="110"/>
      <c r="AC114" s="335"/>
      <c r="AD114" s="355"/>
      <c r="AE114" s="335"/>
      <c r="AF114" s="356"/>
    </row>
    <row r="115" spans="1:32" s="289" customFormat="1" ht="56.25">
      <c r="A115" s="311" t="s">
        <v>13</v>
      </c>
      <c r="B115" s="312" t="s">
        <v>448</v>
      </c>
      <c r="C115" s="313" t="s">
        <v>438</v>
      </c>
      <c r="D115" s="313" t="s">
        <v>449</v>
      </c>
      <c r="E115" s="313" t="s">
        <v>289</v>
      </c>
      <c r="F115" s="313" t="s">
        <v>450</v>
      </c>
      <c r="G115" s="106">
        <v>27470</v>
      </c>
      <c r="H115" s="106">
        <v>27470</v>
      </c>
      <c r="I115" s="106">
        <v>12363</v>
      </c>
      <c r="J115" s="106">
        <v>12363</v>
      </c>
      <c r="K115" s="106"/>
      <c r="L115" s="106"/>
      <c r="M115" s="106">
        <v>5000</v>
      </c>
      <c r="N115" s="106">
        <v>5000</v>
      </c>
      <c r="O115" s="106">
        <v>332</v>
      </c>
      <c r="P115" s="106">
        <v>332</v>
      </c>
      <c r="Q115" s="106">
        <v>3450</v>
      </c>
      <c r="R115" s="106">
        <v>3450</v>
      </c>
      <c r="S115" s="106">
        <v>5000</v>
      </c>
      <c r="T115" s="106">
        <v>5000</v>
      </c>
      <c r="U115" s="106">
        <v>5499</v>
      </c>
      <c r="V115" s="106">
        <v>5499</v>
      </c>
      <c r="W115" s="106">
        <v>6864</v>
      </c>
      <c r="X115" s="106">
        <v>6864</v>
      </c>
      <c r="Y115" s="106"/>
      <c r="Z115" s="106"/>
      <c r="AA115" s="334"/>
      <c r="AB115" s="314" t="s">
        <v>593</v>
      </c>
      <c r="AC115" s="335"/>
      <c r="AD115" s="355"/>
      <c r="AE115" s="335"/>
      <c r="AF115" s="356"/>
    </row>
    <row r="116" spans="1:32" s="289" customFormat="1" ht="112.5">
      <c r="A116" s="311" t="s">
        <v>0</v>
      </c>
      <c r="B116" s="312" t="s">
        <v>451</v>
      </c>
      <c r="C116" s="313" t="s">
        <v>445</v>
      </c>
      <c r="D116" s="313" t="s">
        <v>452</v>
      </c>
      <c r="E116" s="313" t="s">
        <v>453</v>
      </c>
      <c r="F116" s="313" t="s">
        <v>454</v>
      </c>
      <c r="G116" s="106">
        <v>32699</v>
      </c>
      <c r="H116" s="106">
        <v>32699</v>
      </c>
      <c r="I116" s="106">
        <v>15045</v>
      </c>
      <c r="J116" s="106">
        <v>15045</v>
      </c>
      <c r="K116" s="106"/>
      <c r="L116" s="106"/>
      <c r="M116" s="106">
        <v>10000</v>
      </c>
      <c r="N116" s="106">
        <v>10000</v>
      </c>
      <c r="O116" s="106">
        <v>208</v>
      </c>
      <c r="P116" s="106">
        <v>208</v>
      </c>
      <c r="Q116" s="106">
        <v>6436</v>
      </c>
      <c r="R116" s="106">
        <v>6436</v>
      </c>
      <c r="S116" s="106">
        <v>9974</v>
      </c>
      <c r="T116" s="106">
        <v>9974</v>
      </c>
      <c r="U116" s="106">
        <v>10344</v>
      </c>
      <c r="V116" s="106">
        <v>10344</v>
      </c>
      <c r="W116" s="106">
        <v>11038</v>
      </c>
      <c r="X116" s="106">
        <v>11038</v>
      </c>
      <c r="Y116" s="106"/>
      <c r="Z116" s="106"/>
      <c r="AA116" s="334"/>
      <c r="AB116" s="314" t="s">
        <v>593</v>
      </c>
      <c r="AC116" s="335"/>
      <c r="AD116" s="355"/>
      <c r="AE116" s="335"/>
      <c r="AF116" s="356"/>
    </row>
    <row r="117" spans="1:32" s="289" customFormat="1" ht="123.75" customHeight="1">
      <c r="A117" s="311" t="s">
        <v>5</v>
      </c>
      <c r="B117" s="312" t="s">
        <v>455</v>
      </c>
      <c r="C117" s="313" t="s">
        <v>445</v>
      </c>
      <c r="D117" s="313" t="s">
        <v>456</v>
      </c>
      <c r="E117" s="313" t="s">
        <v>457</v>
      </c>
      <c r="F117" s="313" t="s">
        <v>458</v>
      </c>
      <c r="G117" s="106">
        <v>44154</v>
      </c>
      <c r="H117" s="106">
        <v>44154</v>
      </c>
      <c r="I117" s="106">
        <v>20183</v>
      </c>
      <c r="J117" s="106">
        <v>20183</v>
      </c>
      <c r="K117" s="106"/>
      <c r="L117" s="106"/>
      <c r="M117" s="106">
        <v>12000</v>
      </c>
      <c r="N117" s="106">
        <v>12000</v>
      </c>
      <c r="O117" s="106">
        <v>306</v>
      </c>
      <c r="P117" s="106">
        <v>306</v>
      </c>
      <c r="Q117" s="106">
        <v>1819</v>
      </c>
      <c r="R117" s="106">
        <v>1819</v>
      </c>
      <c r="S117" s="106">
        <v>12000</v>
      </c>
      <c r="T117" s="106">
        <v>12000</v>
      </c>
      <c r="U117" s="106">
        <v>12665</v>
      </c>
      <c r="V117" s="106">
        <v>12665</v>
      </c>
      <c r="W117" s="106">
        <v>7518</v>
      </c>
      <c r="X117" s="106">
        <v>7518</v>
      </c>
      <c r="Y117" s="106"/>
      <c r="Z117" s="106"/>
      <c r="AA117" s="334"/>
      <c r="AB117" s="314" t="s">
        <v>593</v>
      </c>
      <c r="AC117" s="335"/>
      <c r="AD117" s="355"/>
      <c r="AE117" s="335"/>
      <c r="AF117" s="356"/>
    </row>
    <row r="118" spans="1:32" s="289" customFormat="1" ht="123.75" customHeight="1">
      <c r="A118" s="311" t="s">
        <v>6</v>
      </c>
      <c r="B118" s="312" t="s">
        <v>459</v>
      </c>
      <c r="C118" s="313" t="s">
        <v>438</v>
      </c>
      <c r="D118" s="313" t="s">
        <v>460</v>
      </c>
      <c r="E118" s="313" t="s">
        <v>461</v>
      </c>
      <c r="F118" s="313" t="s">
        <v>462</v>
      </c>
      <c r="G118" s="106">
        <v>28822</v>
      </c>
      <c r="H118" s="106">
        <v>28822</v>
      </c>
      <c r="I118" s="106">
        <v>12970</v>
      </c>
      <c r="J118" s="106">
        <v>12970</v>
      </c>
      <c r="K118" s="106"/>
      <c r="L118" s="106"/>
      <c r="M118" s="106">
        <v>40</v>
      </c>
      <c r="N118" s="106">
        <v>40</v>
      </c>
      <c r="O118" s="106"/>
      <c r="P118" s="106"/>
      <c r="Q118" s="106">
        <v>40</v>
      </c>
      <c r="R118" s="106">
        <v>40</v>
      </c>
      <c r="S118" s="106">
        <v>40</v>
      </c>
      <c r="T118" s="106">
        <v>40</v>
      </c>
      <c r="U118" s="106">
        <v>450</v>
      </c>
      <c r="V118" s="106">
        <v>450</v>
      </c>
      <c r="W118" s="106">
        <v>12520</v>
      </c>
      <c r="X118" s="106">
        <v>12520</v>
      </c>
      <c r="Y118" s="106"/>
      <c r="Z118" s="106"/>
      <c r="AA118" s="334" t="s">
        <v>463</v>
      </c>
      <c r="AB118" s="314" t="s">
        <v>593</v>
      </c>
      <c r="AC118" s="335"/>
      <c r="AD118" s="355"/>
      <c r="AE118" s="335"/>
      <c r="AF118" s="356"/>
    </row>
    <row r="119" spans="1:32" s="289" customFormat="1" ht="123.75" customHeight="1">
      <c r="A119" s="311" t="s">
        <v>14</v>
      </c>
      <c r="B119" s="325" t="s">
        <v>464</v>
      </c>
      <c r="C119" s="313" t="s">
        <v>465</v>
      </c>
      <c r="D119" s="313" t="s">
        <v>466</v>
      </c>
      <c r="E119" s="313" t="s">
        <v>289</v>
      </c>
      <c r="F119" s="313"/>
      <c r="G119" s="106">
        <v>10363</v>
      </c>
      <c r="H119" s="106">
        <v>10363</v>
      </c>
      <c r="I119" s="106"/>
      <c r="J119" s="106"/>
      <c r="K119" s="106"/>
      <c r="L119" s="106"/>
      <c r="M119" s="106"/>
      <c r="N119" s="106"/>
      <c r="O119" s="106"/>
      <c r="P119" s="106"/>
      <c r="Q119" s="106"/>
      <c r="R119" s="106"/>
      <c r="S119" s="106"/>
      <c r="T119" s="106"/>
      <c r="U119" s="106"/>
      <c r="V119" s="106"/>
      <c r="W119" s="106">
        <f>+X119</f>
        <v>6700</v>
      </c>
      <c r="X119" s="106">
        <v>6700</v>
      </c>
      <c r="Y119" s="106"/>
      <c r="Z119" s="106"/>
      <c r="AA119" s="313" t="s">
        <v>827</v>
      </c>
      <c r="AB119" s="314" t="s">
        <v>593</v>
      </c>
      <c r="AC119" s="335"/>
      <c r="AD119" s="355"/>
      <c r="AE119" s="335"/>
      <c r="AF119" s="356"/>
    </row>
    <row r="120" spans="1:32" s="289" customFormat="1" ht="123.75" customHeight="1">
      <c r="A120" s="311" t="s">
        <v>48</v>
      </c>
      <c r="B120" s="360" t="s">
        <v>692</v>
      </c>
      <c r="C120" s="363" t="s">
        <v>693</v>
      </c>
      <c r="D120" s="331" t="s">
        <v>694</v>
      </c>
      <c r="E120" s="331" t="s">
        <v>289</v>
      </c>
      <c r="F120" s="331"/>
      <c r="G120" s="342">
        <v>30192</v>
      </c>
      <c r="H120" s="342">
        <v>22807</v>
      </c>
      <c r="I120" s="342">
        <f>J120</f>
        <v>15279</v>
      </c>
      <c r="J120" s="342">
        <v>15279</v>
      </c>
      <c r="K120" s="342"/>
      <c r="L120" s="342"/>
      <c r="M120" s="342"/>
      <c r="N120" s="342"/>
      <c r="O120" s="342"/>
      <c r="P120" s="342">
        <v>0</v>
      </c>
      <c r="Q120" s="342"/>
      <c r="R120" s="342"/>
      <c r="S120" s="342"/>
      <c r="T120" s="342"/>
      <c r="U120" s="342"/>
      <c r="V120" s="342"/>
      <c r="W120" s="342">
        <v>15279</v>
      </c>
      <c r="X120" s="342">
        <v>15279</v>
      </c>
      <c r="Y120" s="342"/>
      <c r="Z120" s="342"/>
      <c r="AA120" s="342"/>
      <c r="AB120" s="314" t="s">
        <v>684</v>
      </c>
      <c r="AC120" s="335"/>
      <c r="AD120" s="355"/>
      <c r="AE120" s="335"/>
      <c r="AF120" s="356"/>
    </row>
    <row r="121" spans="1:32" s="289" customFormat="1" ht="123.75" customHeight="1">
      <c r="A121" s="311" t="s">
        <v>49</v>
      </c>
      <c r="B121" s="360" t="s">
        <v>695</v>
      </c>
      <c r="C121" s="363" t="s">
        <v>696</v>
      </c>
      <c r="D121" s="364" t="s">
        <v>697</v>
      </c>
      <c r="E121" s="331" t="s">
        <v>289</v>
      </c>
      <c r="F121" s="297" t="s">
        <v>698</v>
      </c>
      <c r="G121" s="342">
        <v>38844</v>
      </c>
      <c r="H121" s="342">
        <v>30000</v>
      </c>
      <c r="I121" s="342">
        <f>J121</f>
        <v>13503</v>
      </c>
      <c r="J121" s="342">
        <v>13503</v>
      </c>
      <c r="K121" s="342"/>
      <c r="L121" s="342"/>
      <c r="M121" s="342">
        <v>13000</v>
      </c>
      <c r="N121" s="342">
        <v>10000</v>
      </c>
      <c r="O121" s="342">
        <f>P121+1799</f>
        <v>4882</v>
      </c>
      <c r="P121" s="342">
        <v>3083</v>
      </c>
      <c r="Q121" s="342">
        <v>7000</v>
      </c>
      <c r="R121" s="342">
        <v>7000</v>
      </c>
      <c r="S121" s="342">
        <v>12666</v>
      </c>
      <c r="T121" s="342">
        <v>12666</v>
      </c>
      <c r="U121" s="342">
        <v>13000</v>
      </c>
      <c r="V121" s="342">
        <v>10000</v>
      </c>
      <c r="W121" s="342">
        <f>X121</f>
        <v>3503</v>
      </c>
      <c r="X121" s="342">
        <v>3503</v>
      </c>
      <c r="Y121" s="342"/>
      <c r="Z121" s="342"/>
      <c r="AA121" s="342"/>
      <c r="AB121" s="314" t="s">
        <v>684</v>
      </c>
      <c r="AC121" s="335"/>
      <c r="AD121" s="355"/>
      <c r="AE121" s="335"/>
      <c r="AF121" s="356"/>
    </row>
    <row r="122" spans="1:32" s="289" customFormat="1" ht="123.75" customHeight="1">
      <c r="A122" s="311" t="s">
        <v>50</v>
      </c>
      <c r="B122" s="340" t="s">
        <v>699</v>
      </c>
      <c r="C122" s="331" t="s">
        <v>678</v>
      </c>
      <c r="D122" s="341" t="s">
        <v>700</v>
      </c>
      <c r="E122" s="331" t="s">
        <v>289</v>
      </c>
      <c r="F122" s="341" t="s">
        <v>701</v>
      </c>
      <c r="G122" s="342">
        <v>38818</v>
      </c>
      <c r="H122" s="342">
        <v>28878</v>
      </c>
      <c r="I122" s="342">
        <f>J122</f>
        <v>13331</v>
      </c>
      <c r="J122" s="342">
        <v>13331</v>
      </c>
      <c r="K122" s="342"/>
      <c r="L122" s="342"/>
      <c r="M122" s="342">
        <v>13000</v>
      </c>
      <c r="N122" s="342">
        <v>10000</v>
      </c>
      <c r="O122" s="342">
        <v>1166</v>
      </c>
      <c r="P122" s="342">
        <v>0</v>
      </c>
      <c r="Q122" s="342">
        <v>3000</v>
      </c>
      <c r="R122" s="342">
        <v>3000</v>
      </c>
      <c r="S122" s="342">
        <f>T122</f>
        <v>10000</v>
      </c>
      <c r="T122" s="342">
        <v>10000</v>
      </c>
      <c r="U122" s="342">
        <v>13000</v>
      </c>
      <c r="V122" s="342">
        <v>10000</v>
      </c>
      <c r="W122" s="342">
        <f>X122</f>
        <v>3331</v>
      </c>
      <c r="X122" s="342">
        <v>3331</v>
      </c>
      <c r="Y122" s="342"/>
      <c r="Z122" s="342"/>
      <c r="AA122" s="342"/>
      <c r="AB122" s="314" t="s">
        <v>684</v>
      </c>
      <c r="AC122" s="335"/>
      <c r="AD122" s="355"/>
      <c r="AE122" s="335"/>
      <c r="AF122" s="356"/>
    </row>
    <row r="123" spans="1:32" s="289" customFormat="1" ht="123.75" customHeight="1">
      <c r="A123" s="311" t="s">
        <v>51</v>
      </c>
      <c r="B123" s="322" t="s">
        <v>779</v>
      </c>
      <c r="C123" s="314" t="s">
        <v>210</v>
      </c>
      <c r="D123" s="314" t="s">
        <v>780</v>
      </c>
      <c r="E123" s="314" t="s">
        <v>252</v>
      </c>
      <c r="F123" s="314" t="s">
        <v>781</v>
      </c>
      <c r="G123" s="99">
        <v>13764</v>
      </c>
      <c r="H123" s="99">
        <v>9941</v>
      </c>
      <c r="I123" s="91">
        <v>9941</v>
      </c>
      <c r="J123" s="91">
        <v>9941</v>
      </c>
      <c r="K123" s="91">
        <v>0</v>
      </c>
      <c r="L123" s="91">
        <v>0</v>
      </c>
      <c r="M123" s="91">
        <v>0</v>
      </c>
      <c r="N123" s="91">
        <v>0</v>
      </c>
      <c r="O123" s="91">
        <v>0</v>
      </c>
      <c r="P123" s="91">
        <v>0</v>
      </c>
      <c r="Q123" s="91">
        <v>0</v>
      </c>
      <c r="R123" s="91">
        <v>0</v>
      </c>
      <c r="S123" s="91">
        <v>0</v>
      </c>
      <c r="T123" s="91">
        <v>0</v>
      </c>
      <c r="U123" s="91">
        <v>0</v>
      </c>
      <c r="V123" s="91">
        <v>0</v>
      </c>
      <c r="W123" s="342">
        <v>9941</v>
      </c>
      <c r="X123" s="342">
        <v>9941</v>
      </c>
      <c r="Y123" s="342">
        <v>0</v>
      </c>
      <c r="Z123" s="342">
        <v>0</v>
      </c>
      <c r="AA123" s="342"/>
      <c r="AB123" s="314" t="s">
        <v>761</v>
      </c>
      <c r="AC123" s="335"/>
      <c r="AD123" s="355"/>
      <c r="AE123" s="335"/>
      <c r="AF123" s="356"/>
    </row>
    <row r="124" spans="1:32" s="289" customFormat="1" ht="123.75" customHeight="1">
      <c r="A124" s="311" t="s">
        <v>1031</v>
      </c>
      <c r="B124" s="322" t="s">
        <v>782</v>
      </c>
      <c r="C124" s="314" t="s">
        <v>210</v>
      </c>
      <c r="D124" s="314" t="s">
        <v>783</v>
      </c>
      <c r="E124" s="314" t="s">
        <v>312</v>
      </c>
      <c r="F124" s="314" t="s">
        <v>784</v>
      </c>
      <c r="G124" s="99">
        <v>25580</v>
      </c>
      <c r="H124" s="99">
        <v>18778</v>
      </c>
      <c r="I124" s="91">
        <v>16916</v>
      </c>
      <c r="J124" s="91">
        <v>16916</v>
      </c>
      <c r="K124" s="91">
        <v>0</v>
      </c>
      <c r="L124" s="91">
        <v>0</v>
      </c>
      <c r="M124" s="91">
        <v>0</v>
      </c>
      <c r="N124" s="91">
        <v>0</v>
      </c>
      <c r="O124" s="91">
        <v>0</v>
      </c>
      <c r="P124" s="91">
        <v>0</v>
      </c>
      <c r="Q124" s="91">
        <v>0</v>
      </c>
      <c r="R124" s="91">
        <v>0</v>
      </c>
      <c r="S124" s="91">
        <v>0</v>
      </c>
      <c r="T124" s="91">
        <v>0</v>
      </c>
      <c r="U124" s="91">
        <v>0</v>
      </c>
      <c r="V124" s="91">
        <v>0</v>
      </c>
      <c r="W124" s="342">
        <v>16916</v>
      </c>
      <c r="X124" s="342">
        <v>16916</v>
      </c>
      <c r="Y124" s="342">
        <v>0</v>
      </c>
      <c r="Z124" s="342">
        <v>0</v>
      </c>
      <c r="AA124" s="342"/>
      <c r="AB124" s="314" t="s">
        <v>761</v>
      </c>
      <c r="AC124" s="335"/>
      <c r="AD124" s="355"/>
      <c r="AE124" s="335"/>
      <c r="AF124" s="356"/>
    </row>
    <row r="125" spans="1:32" s="289" customFormat="1" ht="123.75" customHeight="1">
      <c r="A125" s="311" t="s">
        <v>1034</v>
      </c>
      <c r="B125" s="322" t="s">
        <v>785</v>
      </c>
      <c r="C125" s="314" t="s">
        <v>210</v>
      </c>
      <c r="D125" s="314" t="s">
        <v>786</v>
      </c>
      <c r="E125" s="314" t="s">
        <v>230</v>
      </c>
      <c r="F125" s="314" t="s">
        <v>787</v>
      </c>
      <c r="G125" s="99">
        <v>25114</v>
      </c>
      <c r="H125" s="99">
        <v>19317</v>
      </c>
      <c r="I125" s="91">
        <v>17385</v>
      </c>
      <c r="J125" s="91">
        <v>17385</v>
      </c>
      <c r="K125" s="91">
        <v>0</v>
      </c>
      <c r="L125" s="91">
        <v>0</v>
      </c>
      <c r="M125" s="91">
        <v>0</v>
      </c>
      <c r="N125" s="91">
        <v>0</v>
      </c>
      <c r="O125" s="91">
        <v>0</v>
      </c>
      <c r="P125" s="91">
        <v>0</v>
      </c>
      <c r="Q125" s="91">
        <v>0</v>
      </c>
      <c r="R125" s="91">
        <v>0</v>
      </c>
      <c r="S125" s="91">
        <v>0</v>
      </c>
      <c r="T125" s="91">
        <v>0</v>
      </c>
      <c r="U125" s="91">
        <v>0</v>
      </c>
      <c r="V125" s="91">
        <v>0</v>
      </c>
      <c r="W125" s="342">
        <v>17385</v>
      </c>
      <c r="X125" s="342">
        <v>17385</v>
      </c>
      <c r="Y125" s="342">
        <v>0</v>
      </c>
      <c r="Z125" s="342">
        <v>0</v>
      </c>
      <c r="AA125" s="342"/>
      <c r="AB125" s="314" t="s">
        <v>761</v>
      </c>
      <c r="AC125" s="335"/>
      <c r="AD125" s="355"/>
      <c r="AE125" s="335"/>
      <c r="AF125" s="356"/>
    </row>
    <row r="126" spans="1:32" s="289" customFormat="1" ht="123.75" customHeight="1">
      <c r="A126" s="311" t="s">
        <v>1038</v>
      </c>
      <c r="B126" s="322" t="s">
        <v>788</v>
      </c>
      <c r="C126" s="314" t="s">
        <v>210</v>
      </c>
      <c r="D126" s="314" t="s">
        <v>789</v>
      </c>
      <c r="E126" s="314" t="s">
        <v>289</v>
      </c>
      <c r="F126" s="345" t="s">
        <v>790</v>
      </c>
      <c r="G126" s="99">
        <v>12386</v>
      </c>
      <c r="H126" s="99">
        <v>10369</v>
      </c>
      <c r="I126" s="91">
        <v>5185</v>
      </c>
      <c r="J126" s="91">
        <v>5185</v>
      </c>
      <c r="K126" s="91">
        <v>0</v>
      </c>
      <c r="L126" s="91">
        <v>0</v>
      </c>
      <c r="M126" s="91">
        <v>3000</v>
      </c>
      <c r="N126" s="91">
        <v>3000</v>
      </c>
      <c r="O126" s="91">
        <v>0</v>
      </c>
      <c r="P126" s="91">
        <v>0</v>
      </c>
      <c r="Q126" s="91">
        <v>0</v>
      </c>
      <c r="R126" s="91">
        <v>0</v>
      </c>
      <c r="S126" s="91">
        <v>3000</v>
      </c>
      <c r="T126" s="91">
        <v>3000</v>
      </c>
      <c r="U126" s="91">
        <v>3000</v>
      </c>
      <c r="V126" s="91">
        <v>3000</v>
      </c>
      <c r="W126" s="342">
        <v>2185</v>
      </c>
      <c r="X126" s="342">
        <v>2185</v>
      </c>
      <c r="Y126" s="342">
        <v>0</v>
      </c>
      <c r="Z126" s="342">
        <v>0</v>
      </c>
      <c r="AA126" s="342"/>
      <c r="AB126" s="314" t="s">
        <v>761</v>
      </c>
      <c r="AC126" s="335"/>
      <c r="AD126" s="355"/>
      <c r="AE126" s="335"/>
      <c r="AF126" s="356"/>
    </row>
    <row r="127" spans="1:32" s="289" customFormat="1" ht="123.75" customHeight="1">
      <c r="A127" s="311" t="s">
        <v>1042</v>
      </c>
      <c r="B127" s="322" t="s">
        <v>791</v>
      </c>
      <c r="C127" s="314" t="s">
        <v>210</v>
      </c>
      <c r="D127" s="314" t="s">
        <v>792</v>
      </c>
      <c r="E127" s="314" t="s">
        <v>289</v>
      </c>
      <c r="F127" s="345" t="s">
        <v>793</v>
      </c>
      <c r="G127" s="99">
        <v>44999</v>
      </c>
      <c r="H127" s="97">
        <v>36311</v>
      </c>
      <c r="I127" s="91">
        <v>16340</v>
      </c>
      <c r="J127" s="91">
        <v>16340</v>
      </c>
      <c r="K127" s="91">
        <v>0</v>
      </c>
      <c r="L127" s="91">
        <v>0</v>
      </c>
      <c r="M127" s="91">
        <v>0</v>
      </c>
      <c r="N127" s="91">
        <v>0</v>
      </c>
      <c r="O127" s="91">
        <v>0</v>
      </c>
      <c r="P127" s="91">
        <v>0</v>
      </c>
      <c r="Q127" s="91">
        <v>0</v>
      </c>
      <c r="R127" s="91">
        <v>0</v>
      </c>
      <c r="S127" s="91">
        <v>0</v>
      </c>
      <c r="T127" s="91">
        <v>0</v>
      </c>
      <c r="U127" s="91">
        <v>0</v>
      </c>
      <c r="V127" s="91">
        <v>0</v>
      </c>
      <c r="W127" s="106">
        <v>16340</v>
      </c>
      <c r="X127" s="106">
        <v>16340</v>
      </c>
      <c r="Y127" s="106">
        <v>0</v>
      </c>
      <c r="Z127" s="106">
        <v>0</v>
      </c>
      <c r="AA127" s="313"/>
      <c r="AB127" s="314" t="s">
        <v>761</v>
      </c>
      <c r="AC127" s="335"/>
      <c r="AD127" s="355"/>
      <c r="AE127" s="335"/>
      <c r="AF127" s="356"/>
    </row>
    <row r="128" spans="1:32" s="289" customFormat="1" ht="125.25" customHeight="1">
      <c r="A128" s="311" t="s">
        <v>1046</v>
      </c>
      <c r="B128" s="322" t="s">
        <v>1051</v>
      </c>
      <c r="C128" s="314" t="s">
        <v>1052</v>
      </c>
      <c r="D128" s="314" t="s">
        <v>1053</v>
      </c>
      <c r="E128" s="314" t="s">
        <v>257</v>
      </c>
      <c r="F128" s="345"/>
      <c r="G128" s="99"/>
      <c r="H128" s="97"/>
      <c r="I128" s="91">
        <v>130734</v>
      </c>
      <c r="J128" s="91">
        <v>130734</v>
      </c>
      <c r="K128" s="91"/>
      <c r="L128" s="91"/>
      <c r="M128" s="91">
        <v>0</v>
      </c>
      <c r="N128" s="91">
        <v>0</v>
      </c>
      <c r="O128" s="91">
        <v>0</v>
      </c>
      <c r="P128" s="91">
        <v>0</v>
      </c>
      <c r="Q128" s="91">
        <v>0</v>
      </c>
      <c r="R128" s="91">
        <v>0</v>
      </c>
      <c r="S128" s="91">
        <v>0</v>
      </c>
      <c r="T128" s="91">
        <v>0</v>
      </c>
      <c r="U128" s="91">
        <v>0</v>
      </c>
      <c r="V128" s="91">
        <v>0</v>
      </c>
      <c r="W128" s="106">
        <v>0</v>
      </c>
      <c r="X128" s="106">
        <v>0</v>
      </c>
      <c r="Y128" s="106"/>
      <c r="Z128" s="106"/>
      <c r="AA128" s="313"/>
      <c r="AB128" s="314" t="s">
        <v>1002</v>
      </c>
      <c r="AC128" s="335"/>
      <c r="AD128" s="355"/>
      <c r="AE128" s="335"/>
      <c r="AF128" s="356"/>
    </row>
    <row r="129" spans="1:32" s="289" customFormat="1" ht="67.5" customHeight="1">
      <c r="A129" s="311" t="s">
        <v>1050</v>
      </c>
      <c r="B129" s="322" t="s">
        <v>1054</v>
      </c>
      <c r="C129" s="314" t="s">
        <v>1004</v>
      </c>
      <c r="D129" s="314" t="s">
        <v>1055</v>
      </c>
      <c r="E129" s="314" t="s">
        <v>289</v>
      </c>
      <c r="F129" s="345" t="s">
        <v>1056</v>
      </c>
      <c r="G129" s="99">
        <v>33251</v>
      </c>
      <c r="H129" s="97">
        <v>26200</v>
      </c>
      <c r="I129" s="91">
        <v>10546</v>
      </c>
      <c r="J129" s="91">
        <v>10546</v>
      </c>
      <c r="K129" s="91"/>
      <c r="L129" s="91"/>
      <c r="M129" s="91">
        <v>0</v>
      </c>
      <c r="N129" s="91"/>
      <c r="O129" s="91">
        <v>0</v>
      </c>
      <c r="P129" s="91"/>
      <c r="Q129" s="91">
        <v>0</v>
      </c>
      <c r="R129" s="91"/>
      <c r="S129" s="91">
        <v>2592</v>
      </c>
      <c r="T129" s="91">
        <v>2592</v>
      </c>
      <c r="U129" s="91">
        <v>0</v>
      </c>
      <c r="V129" s="91"/>
      <c r="W129" s="106">
        <v>7546</v>
      </c>
      <c r="X129" s="106">
        <v>7546</v>
      </c>
      <c r="Y129" s="106"/>
      <c r="Z129" s="106"/>
      <c r="AA129" s="313"/>
      <c r="AB129" s="314" t="s">
        <v>1002</v>
      </c>
      <c r="AC129" s="335"/>
      <c r="AD129" s="355"/>
      <c r="AE129" s="335"/>
      <c r="AF129" s="356"/>
    </row>
    <row r="130" spans="1:32" s="289" customFormat="1" ht="133.5" customHeight="1">
      <c r="A130" s="311" t="s">
        <v>436</v>
      </c>
      <c r="B130" s="322" t="s">
        <v>1057</v>
      </c>
      <c r="C130" s="314" t="s">
        <v>1028</v>
      </c>
      <c r="D130" s="314" t="s">
        <v>1058</v>
      </c>
      <c r="E130" s="314" t="s">
        <v>305</v>
      </c>
      <c r="F130" s="345" t="s">
        <v>1059</v>
      </c>
      <c r="G130" s="99">
        <v>67873</v>
      </c>
      <c r="H130" s="97">
        <v>53033</v>
      </c>
      <c r="I130" s="91">
        <v>31327</v>
      </c>
      <c r="J130" s="91">
        <v>31327</v>
      </c>
      <c r="K130" s="91"/>
      <c r="L130" s="91"/>
      <c r="M130" s="91">
        <v>0</v>
      </c>
      <c r="N130" s="91"/>
      <c r="O130" s="91">
        <v>0</v>
      </c>
      <c r="P130" s="91"/>
      <c r="Q130" s="91">
        <v>0</v>
      </c>
      <c r="R130" s="91"/>
      <c r="S130" s="91">
        <v>0</v>
      </c>
      <c r="T130" s="91"/>
      <c r="U130" s="91">
        <v>0</v>
      </c>
      <c r="V130" s="91"/>
      <c r="W130" s="106">
        <v>15000</v>
      </c>
      <c r="X130" s="106">
        <v>15000</v>
      </c>
      <c r="Y130" s="106"/>
      <c r="Z130" s="106"/>
      <c r="AA130" s="313"/>
      <c r="AB130" s="314" t="s">
        <v>1002</v>
      </c>
      <c r="AC130" s="335"/>
      <c r="AD130" s="355"/>
      <c r="AE130" s="335"/>
      <c r="AF130" s="356"/>
    </row>
    <row r="131" spans="1:32" s="289" customFormat="1" ht="131.25">
      <c r="A131" s="311" t="s">
        <v>443</v>
      </c>
      <c r="B131" s="322" t="s">
        <v>1061</v>
      </c>
      <c r="C131" s="314" t="s">
        <v>1062</v>
      </c>
      <c r="D131" s="314" t="s">
        <v>1063</v>
      </c>
      <c r="E131" s="314" t="s">
        <v>305</v>
      </c>
      <c r="F131" s="345" t="s">
        <v>1064</v>
      </c>
      <c r="G131" s="99">
        <v>72431</v>
      </c>
      <c r="H131" s="97">
        <v>56531</v>
      </c>
      <c r="I131" s="91">
        <v>27031</v>
      </c>
      <c r="J131" s="91">
        <v>27031</v>
      </c>
      <c r="K131" s="91"/>
      <c r="L131" s="91"/>
      <c r="M131" s="91">
        <v>12295</v>
      </c>
      <c r="N131" s="91">
        <v>12295</v>
      </c>
      <c r="O131" s="91">
        <v>10760</v>
      </c>
      <c r="P131" s="91">
        <v>10760</v>
      </c>
      <c r="Q131" s="91">
        <v>10760</v>
      </c>
      <c r="R131" s="91">
        <v>10760</v>
      </c>
      <c r="S131" s="91">
        <v>15295</v>
      </c>
      <c r="T131" s="91">
        <v>15295</v>
      </c>
      <c r="U131" s="91">
        <v>22295</v>
      </c>
      <c r="V131" s="91">
        <v>22295</v>
      </c>
      <c r="W131" s="106">
        <v>4736</v>
      </c>
      <c r="X131" s="106">
        <v>4736</v>
      </c>
      <c r="Y131" s="106"/>
      <c r="Z131" s="106"/>
      <c r="AA131" s="313"/>
      <c r="AB131" s="314" t="s">
        <v>1002</v>
      </c>
      <c r="AC131" s="335"/>
      <c r="AD131" s="355"/>
      <c r="AE131" s="335"/>
      <c r="AF131" s="356"/>
    </row>
    <row r="132" spans="1:32" s="289" customFormat="1" ht="117" customHeight="1">
      <c r="A132" s="311" t="s">
        <v>1060</v>
      </c>
      <c r="B132" s="322" t="s">
        <v>1066</v>
      </c>
      <c r="C132" s="314" t="s">
        <v>1012</v>
      </c>
      <c r="D132" s="314" t="s">
        <v>1067</v>
      </c>
      <c r="E132" s="314" t="s">
        <v>289</v>
      </c>
      <c r="F132" s="345"/>
      <c r="G132" s="99"/>
      <c r="H132" s="97"/>
      <c r="I132" s="91">
        <v>6036</v>
      </c>
      <c r="J132" s="91">
        <v>6036</v>
      </c>
      <c r="K132" s="91"/>
      <c r="L132" s="91"/>
      <c r="M132" s="91">
        <v>0</v>
      </c>
      <c r="N132" s="91"/>
      <c r="O132" s="91">
        <v>0</v>
      </c>
      <c r="P132" s="91"/>
      <c r="Q132" s="91">
        <v>0</v>
      </c>
      <c r="R132" s="91"/>
      <c r="S132" s="91">
        <v>0</v>
      </c>
      <c r="T132" s="91"/>
      <c r="U132" s="91">
        <v>0</v>
      </c>
      <c r="V132" s="91"/>
      <c r="W132" s="106">
        <v>3000</v>
      </c>
      <c r="X132" s="106">
        <v>3000</v>
      </c>
      <c r="Y132" s="106"/>
      <c r="Z132" s="106"/>
      <c r="AA132" s="313"/>
      <c r="AB132" s="314" t="s">
        <v>1002</v>
      </c>
      <c r="AC132" s="335"/>
      <c r="AD132" s="355"/>
      <c r="AE132" s="335"/>
      <c r="AF132" s="356"/>
    </row>
    <row r="133" spans="1:32" s="289" customFormat="1" ht="102.75" customHeight="1">
      <c r="A133" s="311" t="s">
        <v>1065</v>
      </c>
      <c r="B133" s="322" t="s">
        <v>1068</v>
      </c>
      <c r="C133" s="314" t="s">
        <v>1069</v>
      </c>
      <c r="D133" s="314" t="s">
        <v>1070</v>
      </c>
      <c r="E133" s="314" t="s">
        <v>305</v>
      </c>
      <c r="F133" s="345" t="s">
        <v>1071</v>
      </c>
      <c r="G133" s="99">
        <v>19966</v>
      </c>
      <c r="H133" s="97">
        <v>13594</v>
      </c>
      <c r="I133" s="91">
        <v>12235</v>
      </c>
      <c r="J133" s="91">
        <v>12235</v>
      </c>
      <c r="K133" s="91"/>
      <c r="L133" s="91"/>
      <c r="M133" s="91">
        <v>5000</v>
      </c>
      <c r="N133" s="91">
        <v>5000</v>
      </c>
      <c r="O133" s="91">
        <v>1217</v>
      </c>
      <c r="P133" s="91">
        <v>1217</v>
      </c>
      <c r="Q133" s="91">
        <v>4000</v>
      </c>
      <c r="R133" s="91">
        <v>4000</v>
      </c>
      <c r="S133" s="91">
        <v>5000</v>
      </c>
      <c r="T133" s="91">
        <v>5000</v>
      </c>
      <c r="U133" s="91">
        <v>5000</v>
      </c>
      <c r="V133" s="91">
        <v>5000</v>
      </c>
      <c r="W133" s="106">
        <v>7235</v>
      </c>
      <c r="X133" s="106">
        <v>7235</v>
      </c>
      <c r="Y133" s="106"/>
      <c r="Z133" s="106"/>
      <c r="AA133" s="313"/>
      <c r="AB133" s="314" t="s">
        <v>1002</v>
      </c>
      <c r="AC133" s="335"/>
      <c r="AD133" s="355"/>
      <c r="AE133" s="335"/>
      <c r="AF133" s="356"/>
    </row>
    <row r="134" spans="1:32" s="289" customFormat="1" ht="102.75" customHeight="1">
      <c r="A134" s="311" t="s">
        <v>1080</v>
      </c>
      <c r="B134" s="322" t="s">
        <v>1075</v>
      </c>
      <c r="C134" s="314" t="s">
        <v>1076</v>
      </c>
      <c r="D134" s="314" t="s">
        <v>1077</v>
      </c>
      <c r="E134" s="314" t="s">
        <v>289</v>
      </c>
      <c r="F134" s="345" t="s">
        <v>1078</v>
      </c>
      <c r="G134" s="99">
        <v>39313</v>
      </c>
      <c r="H134" s="97">
        <v>30303</v>
      </c>
      <c r="I134" s="91">
        <v>14020</v>
      </c>
      <c r="J134" s="91">
        <v>14020</v>
      </c>
      <c r="K134" s="91"/>
      <c r="L134" s="91"/>
      <c r="M134" s="91">
        <v>9000</v>
      </c>
      <c r="N134" s="91">
        <v>9000</v>
      </c>
      <c r="O134" s="91">
        <v>0</v>
      </c>
      <c r="P134" s="91"/>
      <c r="Q134" s="91">
        <v>0</v>
      </c>
      <c r="R134" s="91"/>
      <c r="S134" s="91">
        <v>9000</v>
      </c>
      <c r="T134" s="91">
        <v>9000</v>
      </c>
      <c r="U134" s="91">
        <v>9000</v>
      </c>
      <c r="V134" s="91">
        <v>9000</v>
      </c>
      <c r="W134" s="106">
        <v>5020</v>
      </c>
      <c r="X134" s="106">
        <v>5020</v>
      </c>
      <c r="Y134" s="106"/>
      <c r="Z134" s="106"/>
      <c r="AA134" s="313"/>
      <c r="AB134" s="314" t="s">
        <v>1079</v>
      </c>
      <c r="AC134" s="335"/>
      <c r="AD134" s="355"/>
      <c r="AE134" s="335"/>
      <c r="AF134" s="356"/>
    </row>
    <row r="135" spans="1:32" s="289" customFormat="1" ht="129.75" customHeight="1">
      <c r="A135" s="311" t="s">
        <v>1261</v>
      </c>
      <c r="B135" s="322" t="s">
        <v>1247</v>
      </c>
      <c r="C135" s="314" t="s">
        <v>396</v>
      </c>
      <c r="D135" s="314" t="s">
        <v>1245</v>
      </c>
      <c r="E135" s="314" t="s">
        <v>305</v>
      </c>
      <c r="F135" s="345" t="s">
        <v>1246</v>
      </c>
      <c r="G135" s="99">
        <v>20978</v>
      </c>
      <c r="H135" s="97">
        <v>12491</v>
      </c>
      <c r="I135" s="91">
        <v>11780</v>
      </c>
      <c r="J135" s="91">
        <v>11780</v>
      </c>
      <c r="K135" s="91"/>
      <c r="L135" s="91"/>
      <c r="M135" s="91">
        <v>9780</v>
      </c>
      <c r="N135" s="91">
        <v>9780</v>
      </c>
      <c r="O135" s="91"/>
      <c r="P135" s="91"/>
      <c r="Q135" s="91"/>
      <c r="R135" s="91"/>
      <c r="S135" s="91">
        <v>3500</v>
      </c>
      <c r="T135" s="91">
        <v>3500</v>
      </c>
      <c r="U135" s="91">
        <v>11780</v>
      </c>
      <c r="V135" s="91">
        <v>11780</v>
      </c>
      <c r="W135" s="106">
        <v>0</v>
      </c>
      <c r="X135" s="106"/>
      <c r="Y135" s="106"/>
      <c r="Z135" s="106"/>
      <c r="AA135" s="313"/>
      <c r="AB135" s="314" t="s">
        <v>1228</v>
      </c>
      <c r="AC135" s="335"/>
      <c r="AD135" s="355"/>
      <c r="AE135" s="335"/>
      <c r="AF135" s="356"/>
    </row>
    <row r="136" spans="1:32" s="289" customFormat="1" ht="148.5" customHeight="1">
      <c r="A136" s="311" t="s">
        <v>1262</v>
      </c>
      <c r="B136" s="322" t="s">
        <v>1248</v>
      </c>
      <c r="C136" s="314" t="s">
        <v>396</v>
      </c>
      <c r="D136" s="314" t="s">
        <v>1245</v>
      </c>
      <c r="E136" s="314" t="s">
        <v>257</v>
      </c>
      <c r="F136" s="345"/>
      <c r="G136" s="99">
        <v>163243</v>
      </c>
      <c r="H136" s="97">
        <v>89880</v>
      </c>
      <c r="I136" s="91">
        <v>73363</v>
      </c>
      <c r="J136" s="91">
        <v>73363</v>
      </c>
      <c r="K136" s="91"/>
      <c r="L136" s="91"/>
      <c r="M136" s="91"/>
      <c r="N136" s="91"/>
      <c r="O136" s="91"/>
      <c r="P136" s="91"/>
      <c r="Q136" s="91"/>
      <c r="R136" s="91"/>
      <c r="S136" s="91"/>
      <c r="T136" s="91"/>
      <c r="U136" s="91">
        <v>0</v>
      </c>
      <c r="V136" s="91">
        <v>0</v>
      </c>
      <c r="W136" s="106">
        <v>25000</v>
      </c>
      <c r="X136" s="106">
        <v>25000</v>
      </c>
      <c r="Y136" s="106"/>
      <c r="Z136" s="106"/>
      <c r="AA136" s="313"/>
      <c r="AB136" s="314" t="s">
        <v>1228</v>
      </c>
      <c r="AC136" s="335"/>
      <c r="AD136" s="355"/>
      <c r="AE136" s="335"/>
      <c r="AF136" s="356"/>
    </row>
    <row r="137" spans="1:32" s="289" customFormat="1" ht="131.25" customHeight="1">
      <c r="A137" s="311" t="s">
        <v>1263</v>
      </c>
      <c r="B137" s="322" t="s">
        <v>1256</v>
      </c>
      <c r="C137" s="314" t="s">
        <v>396</v>
      </c>
      <c r="D137" s="314" t="s">
        <v>1249</v>
      </c>
      <c r="E137" s="314" t="s">
        <v>289</v>
      </c>
      <c r="F137" s="345" t="s">
        <v>1250</v>
      </c>
      <c r="G137" s="99">
        <v>45904</v>
      </c>
      <c r="H137" s="97">
        <v>31776</v>
      </c>
      <c r="I137" s="91">
        <v>14128</v>
      </c>
      <c r="J137" s="91">
        <v>14128</v>
      </c>
      <c r="K137" s="91"/>
      <c r="L137" s="91"/>
      <c r="M137" s="91"/>
      <c r="N137" s="91"/>
      <c r="O137" s="91"/>
      <c r="P137" s="91"/>
      <c r="Q137" s="91"/>
      <c r="R137" s="91"/>
      <c r="S137" s="91">
        <v>7000</v>
      </c>
      <c r="T137" s="91">
        <v>7000</v>
      </c>
      <c r="U137" s="91">
        <v>0</v>
      </c>
      <c r="V137" s="91">
        <v>0</v>
      </c>
      <c r="W137" s="106">
        <v>7128</v>
      </c>
      <c r="X137" s="106">
        <v>7128</v>
      </c>
      <c r="Y137" s="106"/>
      <c r="Z137" s="106"/>
      <c r="AA137" s="313" t="s">
        <v>1251</v>
      </c>
      <c r="AB137" s="314" t="s">
        <v>1228</v>
      </c>
      <c r="AC137" s="335"/>
      <c r="AD137" s="355"/>
      <c r="AE137" s="335"/>
      <c r="AF137" s="356"/>
    </row>
    <row r="138" spans="1:32" s="289" customFormat="1" ht="37.5">
      <c r="A138" s="311" t="s">
        <v>1264</v>
      </c>
      <c r="B138" s="322" t="s">
        <v>1257</v>
      </c>
      <c r="C138" s="314" t="s">
        <v>396</v>
      </c>
      <c r="D138" s="314" t="s">
        <v>1252</v>
      </c>
      <c r="E138" s="314" t="s">
        <v>289</v>
      </c>
      <c r="F138" s="345"/>
      <c r="G138" s="99">
        <v>35783</v>
      </c>
      <c r="H138" s="97">
        <v>25460</v>
      </c>
      <c r="I138" s="91">
        <v>10323</v>
      </c>
      <c r="J138" s="91">
        <v>10323</v>
      </c>
      <c r="K138" s="91"/>
      <c r="L138" s="91"/>
      <c r="M138" s="91"/>
      <c r="N138" s="91"/>
      <c r="O138" s="91"/>
      <c r="P138" s="91"/>
      <c r="Q138" s="91"/>
      <c r="R138" s="91"/>
      <c r="S138" s="91"/>
      <c r="T138" s="91"/>
      <c r="U138" s="91">
        <v>0</v>
      </c>
      <c r="V138" s="91">
        <v>0</v>
      </c>
      <c r="W138" s="106">
        <v>10323</v>
      </c>
      <c r="X138" s="106">
        <v>10323</v>
      </c>
      <c r="Y138" s="106"/>
      <c r="Z138" s="106"/>
      <c r="AA138" s="313"/>
      <c r="AB138" s="314" t="s">
        <v>1228</v>
      </c>
      <c r="AC138" s="335"/>
      <c r="AD138" s="355"/>
      <c r="AE138" s="335"/>
      <c r="AF138" s="356"/>
    </row>
    <row r="139" spans="1:32" s="289" customFormat="1" ht="114.75" customHeight="1">
      <c r="A139" s="311" t="s">
        <v>1265</v>
      </c>
      <c r="B139" s="322" t="s">
        <v>1258</v>
      </c>
      <c r="C139" s="314" t="s">
        <v>396</v>
      </c>
      <c r="D139" s="314" t="s">
        <v>1253</v>
      </c>
      <c r="E139" s="314" t="s">
        <v>289</v>
      </c>
      <c r="F139" s="345"/>
      <c r="G139" s="99">
        <v>38018</v>
      </c>
      <c r="H139" s="97">
        <v>26318</v>
      </c>
      <c r="I139" s="91">
        <v>11700</v>
      </c>
      <c r="J139" s="91">
        <v>11700</v>
      </c>
      <c r="K139" s="91"/>
      <c r="L139" s="91"/>
      <c r="M139" s="91"/>
      <c r="N139" s="91"/>
      <c r="O139" s="91"/>
      <c r="P139" s="91"/>
      <c r="Q139" s="91"/>
      <c r="R139" s="91"/>
      <c r="S139" s="91"/>
      <c r="T139" s="91"/>
      <c r="U139" s="91">
        <v>0</v>
      </c>
      <c r="V139" s="91">
        <v>0</v>
      </c>
      <c r="W139" s="106">
        <v>11700</v>
      </c>
      <c r="X139" s="106">
        <v>11700</v>
      </c>
      <c r="Y139" s="106"/>
      <c r="Z139" s="106"/>
      <c r="AA139" s="313"/>
      <c r="AB139" s="314" t="s">
        <v>1228</v>
      </c>
      <c r="AC139" s="335"/>
      <c r="AD139" s="355"/>
      <c r="AE139" s="335"/>
      <c r="AF139" s="356"/>
    </row>
    <row r="140" spans="1:32" s="289" customFormat="1" ht="95.25" customHeight="1">
      <c r="A140" s="311" t="s">
        <v>1266</v>
      </c>
      <c r="B140" s="322" t="s">
        <v>1259</v>
      </c>
      <c r="C140" s="314" t="s">
        <v>396</v>
      </c>
      <c r="D140" s="314" t="s">
        <v>1254</v>
      </c>
      <c r="E140" s="314" t="s">
        <v>289</v>
      </c>
      <c r="F140" s="345"/>
      <c r="G140" s="99">
        <v>39752</v>
      </c>
      <c r="H140" s="97">
        <v>28652</v>
      </c>
      <c r="I140" s="91">
        <v>11100</v>
      </c>
      <c r="J140" s="91">
        <v>11100</v>
      </c>
      <c r="K140" s="91"/>
      <c r="L140" s="91"/>
      <c r="M140" s="91"/>
      <c r="N140" s="91"/>
      <c r="O140" s="91"/>
      <c r="P140" s="91"/>
      <c r="Q140" s="91"/>
      <c r="R140" s="91"/>
      <c r="S140" s="91"/>
      <c r="T140" s="91"/>
      <c r="U140" s="91">
        <v>0</v>
      </c>
      <c r="V140" s="91">
        <v>0</v>
      </c>
      <c r="W140" s="106">
        <v>11100</v>
      </c>
      <c r="X140" s="106">
        <v>11100</v>
      </c>
      <c r="Y140" s="106"/>
      <c r="Z140" s="106"/>
      <c r="AA140" s="313"/>
      <c r="AB140" s="314" t="s">
        <v>1228</v>
      </c>
      <c r="AC140" s="335"/>
      <c r="AD140" s="355"/>
      <c r="AE140" s="335"/>
      <c r="AF140" s="356"/>
    </row>
    <row r="141" spans="1:32" s="289" customFormat="1" ht="115.5" customHeight="1">
      <c r="A141" s="311" t="s">
        <v>1267</v>
      </c>
      <c r="B141" s="322" t="s">
        <v>1260</v>
      </c>
      <c r="C141" s="314" t="s">
        <v>396</v>
      </c>
      <c r="D141" s="314" t="s">
        <v>1255</v>
      </c>
      <c r="E141" s="314" t="s">
        <v>289</v>
      </c>
      <c r="F141" s="345"/>
      <c r="G141" s="99">
        <v>36632</v>
      </c>
      <c r="H141" s="97">
        <v>25235</v>
      </c>
      <c r="I141" s="91">
        <v>11397</v>
      </c>
      <c r="J141" s="91">
        <v>11397</v>
      </c>
      <c r="K141" s="91"/>
      <c r="L141" s="91"/>
      <c r="M141" s="91"/>
      <c r="N141" s="91"/>
      <c r="O141" s="91"/>
      <c r="P141" s="91"/>
      <c r="Q141" s="91"/>
      <c r="R141" s="91"/>
      <c r="S141" s="91"/>
      <c r="T141" s="91"/>
      <c r="U141" s="91">
        <v>0</v>
      </c>
      <c r="V141" s="91">
        <v>0</v>
      </c>
      <c r="W141" s="106">
        <v>11397</v>
      </c>
      <c r="X141" s="106">
        <v>11397</v>
      </c>
      <c r="Y141" s="106"/>
      <c r="Z141" s="106"/>
      <c r="AA141" s="313"/>
      <c r="AB141" s="314" t="s">
        <v>1228</v>
      </c>
      <c r="AC141" s="335"/>
      <c r="AD141" s="355"/>
      <c r="AE141" s="335"/>
      <c r="AF141" s="356"/>
    </row>
    <row r="142" spans="1:32" s="289" customFormat="1" ht="43.5" customHeight="1">
      <c r="A142" s="303" t="s">
        <v>24</v>
      </c>
      <c r="B142" s="304" t="s">
        <v>115</v>
      </c>
      <c r="C142" s="313"/>
      <c r="D142" s="327"/>
      <c r="E142" s="318"/>
      <c r="F142" s="331"/>
      <c r="G142" s="113">
        <f>G143+G147</f>
        <v>848658</v>
      </c>
      <c r="H142" s="113">
        <f t="shared" ref="H142:Z142" si="41">H143+H147</f>
        <v>513236</v>
      </c>
      <c r="I142" s="113">
        <f t="shared" si="41"/>
        <v>344975</v>
      </c>
      <c r="J142" s="113">
        <f t="shared" si="41"/>
        <v>299549</v>
      </c>
      <c r="K142" s="113">
        <f t="shared" si="41"/>
        <v>0</v>
      </c>
      <c r="L142" s="113">
        <f t="shared" si="41"/>
        <v>0</v>
      </c>
      <c r="M142" s="113">
        <f t="shared" si="41"/>
        <v>55101</v>
      </c>
      <c r="N142" s="113">
        <f t="shared" si="41"/>
        <v>44558</v>
      </c>
      <c r="O142" s="113">
        <f t="shared" si="41"/>
        <v>14954</v>
      </c>
      <c r="P142" s="113">
        <f t="shared" si="41"/>
        <v>14954</v>
      </c>
      <c r="Q142" s="113">
        <f t="shared" si="41"/>
        <v>25003</v>
      </c>
      <c r="R142" s="113">
        <f t="shared" si="41"/>
        <v>25003</v>
      </c>
      <c r="S142" s="113">
        <f t="shared" si="41"/>
        <v>60357</v>
      </c>
      <c r="T142" s="113">
        <f t="shared" si="41"/>
        <v>60357</v>
      </c>
      <c r="U142" s="113">
        <f t="shared" si="41"/>
        <v>159809</v>
      </c>
      <c r="V142" s="113">
        <f t="shared" si="41"/>
        <v>159809</v>
      </c>
      <c r="W142" s="113">
        <f t="shared" si="41"/>
        <v>186538.55759259261</v>
      </c>
      <c r="X142" s="113">
        <f t="shared" si="41"/>
        <v>145402.55759259261</v>
      </c>
      <c r="Y142" s="113">
        <f t="shared" si="41"/>
        <v>3000</v>
      </c>
      <c r="Z142" s="113">
        <f t="shared" si="41"/>
        <v>0</v>
      </c>
      <c r="AA142" s="110"/>
      <c r="AB142" s="110"/>
      <c r="AC142" s="335"/>
      <c r="AD142" s="355"/>
      <c r="AE142" s="335"/>
      <c r="AF142" s="356"/>
    </row>
    <row r="143" spans="1:32" s="289" customFormat="1" ht="19.5">
      <c r="A143" s="307" t="s">
        <v>19</v>
      </c>
      <c r="B143" s="308" t="s">
        <v>18</v>
      </c>
      <c r="C143" s="313"/>
      <c r="D143" s="327"/>
      <c r="E143" s="318"/>
      <c r="F143" s="331"/>
      <c r="G143" s="114">
        <f>SUM(G144:G146)</f>
        <v>292891</v>
      </c>
      <c r="H143" s="114">
        <f t="shared" ref="H143:Z143" si="42">SUM(H144:H146)</f>
        <v>196823</v>
      </c>
      <c r="I143" s="114">
        <f t="shared" si="42"/>
        <v>112753</v>
      </c>
      <c r="J143" s="114">
        <f t="shared" si="42"/>
        <v>67327</v>
      </c>
      <c r="K143" s="114">
        <f t="shared" si="42"/>
        <v>0</v>
      </c>
      <c r="L143" s="114">
        <f t="shared" si="42"/>
        <v>0</v>
      </c>
      <c r="M143" s="114">
        <f t="shared" si="42"/>
        <v>10543</v>
      </c>
      <c r="N143" s="114">
        <f t="shared" si="42"/>
        <v>0</v>
      </c>
      <c r="O143" s="114">
        <f t="shared" si="42"/>
        <v>0</v>
      </c>
      <c r="P143" s="114">
        <f t="shared" si="42"/>
        <v>0</v>
      </c>
      <c r="Q143" s="114">
        <f t="shared" si="42"/>
        <v>0</v>
      </c>
      <c r="R143" s="114">
        <f t="shared" si="42"/>
        <v>0</v>
      </c>
      <c r="S143" s="114">
        <f t="shared" si="42"/>
        <v>0</v>
      </c>
      <c r="T143" s="114">
        <f t="shared" si="42"/>
        <v>0</v>
      </c>
      <c r="U143" s="114">
        <f t="shared" si="42"/>
        <v>0</v>
      </c>
      <c r="V143" s="114">
        <f t="shared" si="42"/>
        <v>0</v>
      </c>
      <c r="W143" s="114">
        <f t="shared" si="42"/>
        <v>108463</v>
      </c>
      <c r="X143" s="114">
        <f t="shared" si="42"/>
        <v>67327</v>
      </c>
      <c r="Y143" s="114">
        <f t="shared" si="42"/>
        <v>0</v>
      </c>
      <c r="Z143" s="114">
        <f t="shared" si="42"/>
        <v>0</v>
      </c>
      <c r="AA143" s="110"/>
      <c r="AB143" s="110"/>
      <c r="AC143" s="335"/>
      <c r="AD143" s="355"/>
      <c r="AE143" s="335"/>
      <c r="AF143" s="356"/>
    </row>
    <row r="144" spans="1:32" s="289" customFormat="1" ht="99.75" customHeight="1">
      <c r="A144" s="336">
        <v>1</v>
      </c>
      <c r="B144" s="330" t="s">
        <v>350</v>
      </c>
      <c r="C144" s="313" t="s">
        <v>218</v>
      </c>
      <c r="D144" s="327" t="s">
        <v>353</v>
      </c>
      <c r="E144" s="318" t="s">
        <v>257</v>
      </c>
      <c r="F144" s="309"/>
      <c r="G144" s="97">
        <v>86395</v>
      </c>
      <c r="H144" s="97">
        <v>63922</v>
      </c>
      <c r="I144" s="121">
        <f>47327+12307</f>
        <v>59634</v>
      </c>
      <c r="J144" s="121">
        <v>47327</v>
      </c>
      <c r="K144" s="110"/>
      <c r="L144" s="110"/>
      <c r="M144" s="110">
        <v>3715</v>
      </c>
      <c r="N144" s="110"/>
      <c r="O144" s="119"/>
      <c r="P144" s="110"/>
      <c r="Q144" s="110"/>
      <c r="R144" s="110"/>
      <c r="S144" s="110"/>
      <c r="T144" s="110"/>
      <c r="U144" s="110"/>
      <c r="V144" s="110"/>
      <c r="W144" s="110">
        <v>59634</v>
      </c>
      <c r="X144" s="110">
        <v>47327</v>
      </c>
      <c r="Y144" s="110"/>
      <c r="Z144" s="110"/>
      <c r="AA144" s="110"/>
      <c r="AB144" s="314" t="s">
        <v>597</v>
      </c>
      <c r="AC144" s="335"/>
      <c r="AD144" s="355"/>
      <c r="AE144" s="335"/>
      <c r="AF144" s="356"/>
    </row>
    <row r="145" spans="1:32" s="289" customFormat="1" ht="66.75" customHeight="1">
      <c r="A145" s="336">
        <v>2</v>
      </c>
      <c r="B145" s="330" t="s">
        <v>351</v>
      </c>
      <c r="C145" s="313" t="s">
        <v>328</v>
      </c>
      <c r="D145" s="327" t="s">
        <v>354</v>
      </c>
      <c r="E145" s="318" t="s">
        <v>355</v>
      </c>
      <c r="F145" s="313"/>
      <c r="G145" s="97">
        <v>104024</v>
      </c>
      <c r="H145" s="97">
        <v>67515</v>
      </c>
      <c r="I145" s="121">
        <f>10000+16690</f>
        <v>26690</v>
      </c>
      <c r="J145" s="121">
        <v>10000</v>
      </c>
      <c r="K145" s="110"/>
      <c r="L145" s="110"/>
      <c r="M145" s="110">
        <v>3428</v>
      </c>
      <c r="N145" s="110"/>
      <c r="O145" s="119"/>
      <c r="P145" s="110"/>
      <c r="Q145" s="110"/>
      <c r="R145" s="110"/>
      <c r="S145" s="110"/>
      <c r="T145" s="110"/>
      <c r="U145" s="110"/>
      <c r="V145" s="110"/>
      <c r="W145" s="110">
        <v>24500</v>
      </c>
      <c r="X145" s="110">
        <v>10000</v>
      </c>
      <c r="Y145" s="110"/>
      <c r="Z145" s="110"/>
      <c r="AA145" s="110"/>
      <c r="AB145" s="314" t="s">
        <v>597</v>
      </c>
      <c r="AC145" s="335"/>
      <c r="AD145" s="355"/>
      <c r="AE145" s="335"/>
      <c r="AF145" s="356"/>
    </row>
    <row r="146" spans="1:32" s="289" customFormat="1" ht="54.75" customHeight="1">
      <c r="A146" s="336">
        <v>3</v>
      </c>
      <c r="B146" s="330" t="s">
        <v>352</v>
      </c>
      <c r="C146" s="313" t="s">
        <v>356</v>
      </c>
      <c r="D146" s="327" t="s">
        <v>357</v>
      </c>
      <c r="E146" s="318" t="s">
        <v>355</v>
      </c>
      <c r="F146" s="313"/>
      <c r="G146" s="97">
        <v>102472</v>
      </c>
      <c r="H146" s="97">
        <v>65386</v>
      </c>
      <c r="I146" s="121">
        <f>10000+16429</f>
        <v>26429</v>
      </c>
      <c r="J146" s="121">
        <v>10000</v>
      </c>
      <c r="K146" s="110"/>
      <c r="L146" s="110"/>
      <c r="M146" s="110">
        <v>3400</v>
      </c>
      <c r="N146" s="110"/>
      <c r="O146" s="119"/>
      <c r="P146" s="110"/>
      <c r="Q146" s="110"/>
      <c r="R146" s="110"/>
      <c r="S146" s="110"/>
      <c r="T146" s="110"/>
      <c r="U146" s="110"/>
      <c r="V146" s="110"/>
      <c r="W146" s="110">
        <v>24329</v>
      </c>
      <c r="X146" s="110">
        <v>10000</v>
      </c>
      <c r="Y146" s="110"/>
      <c r="Z146" s="110"/>
      <c r="AA146" s="110"/>
      <c r="AB146" s="314" t="s">
        <v>597</v>
      </c>
      <c r="AC146" s="335"/>
      <c r="AD146" s="355"/>
      <c r="AE146" s="335"/>
      <c r="AF146" s="356"/>
    </row>
    <row r="147" spans="1:32" s="289" customFormat="1" ht="54.75" customHeight="1">
      <c r="A147" s="307" t="s">
        <v>19</v>
      </c>
      <c r="B147" s="308" t="s">
        <v>20</v>
      </c>
      <c r="C147" s="313"/>
      <c r="D147" s="327"/>
      <c r="E147" s="318"/>
      <c r="F147" s="313"/>
      <c r="G147" s="365">
        <f>SUM(G148:G172)</f>
        <v>555767</v>
      </c>
      <c r="H147" s="365">
        <f t="shared" ref="H147:Z147" si="43">SUM(H148:H172)</f>
        <v>316413</v>
      </c>
      <c r="I147" s="365">
        <f t="shared" si="43"/>
        <v>232222</v>
      </c>
      <c r="J147" s="365">
        <f t="shared" si="43"/>
        <v>232222</v>
      </c>
      <c r="K147" s="365">
        <f t="shared" si="43"/>
        <v>0</v>
      </c>
      <c r="L147" s="365">
        <f t="shared" si="43"/>
        <v>0</v>
      </c>
      <c r="M147" s="365">
        <f t="shared" si="43"/>
        <v>44558</v>
      </c>
      <c r="N147" s="365">
        <f t="shared" si="43"/>
        <v>44558</v>
      </c>
      <c r="O147" s="365">
        <f t="shared" si="43"/>
        <v>14954</v>
      </c>
      <c r="P147" s="365">
        <f t="shared" si="43"/>
        <v>14954</v>
      </c>
      <c r="Q147" s="365">
        <f t="shared" si="43"/>
        <v>25003</v>
      </c>
      <c r="R147" s="365">
        <f t="shared" si="43"/>
        <v>25003</v>
      </c>
      <c r="S147" s="365">
        <f t="shared" si="43"/>
        <v>60357</v>
      </c>
      <c r="T147" s="365">
        <f t="shared" si="43"/>
        <v>60357</v>
      </c>
      <c r="U147" s="365">
        <f t="shared" si="43"/>
        <v>159809</v>
      </c>
      <c r="V147" s="365">
        <f t="shared" si="43"/>
        <v>159809</v>
      </c>
      <c r="W147" s="365">
        <f t="shared" si="43"/>
        <v>78075.557592592595</v>
      </c>
      <c r="X147" s="365">
        <f t="shared" si="43"/>
        <v>78075.557592592595</v>
      </c>
      <c r="Y147" s="365">
        <f t="shared" si="43"/>
        <v>3000</v>
      </c>
      <c r="Z147" s="365">
        <f t="shared" si="43"/>
        <v>0</v>
      </c>
      <c r="AA147" s="110"/>
      <c r="AB147" s="110"/>
      <c r="AC147" s="335"/>
      <c r="AD147" s="355"/>
      <c r="AE147" s="335"/>
      <c r="AF147" s="356"/>
    </row>
    <row r="148" spans="1:32" s="289" customFormat="1" ht="75" customHeight="1">
      <c r="A148" s="311" t="s">
        <v>13</v>
      </c>
      <c r="B148" s="312" t="s">
        <v>467</v>
      </c>
      <c r="C148" s="313" t="s">
        <v>250</v>
      </c>
      <c r="D148" s="313" t="s">
        <v>468</v>
      </c>
      <c r="E148" s="313" t="s">
        <v>469</v>
      </c>
      <c r="F148" s="313" t="s">
        <v>470</v>
      </c>
      <c r="G148" s="106">
        <v>6284</v>
      </c>
      <c r="H148" s="106">
        <v>6284</v>
      </c>
      <c r="I148" s="106">
        <v>7054</v>
      </c>
      <c r="J148" s="106">
        <v>7054</v>
      </c>
      <c r="K148" s="106"/>
      <c r="L148" s="106"/>
      <c r="M148" s="106"/>
      <c r="N148" s="106"/>
      <c r="O148" s="106"/>
      <c r="P148" s="106"/>
      <c r="Q148" s="106">
        <v>1703</v>
      </c>
      <c r="R148" s="106">
        <v>1703</v>
      </c>
      <c r="S148" s="106">
        <v>3000</v>
      </c>
      <c r="T148" s="106">
        <v>3000</v>
      </c>
      <c r="U148" s="106"/>
      <c r="V148" s="106"/>
      <c r="W148" s="106">
        <v>5963.5575925925923</v>
      </c>
      <c r="X148" s="106">
        <v>5963.5575925925923</v>
      </c>
      <c r="Y148" s="106">
        <v>3000</v>
      </c>
      <c r="Z148" s="106"/>
      <c r="AA148" s="313" t="s">
        <v>471</v>
      </c>
      <c r="AB148" s="314" t="s">
        <v>593</v>
      </c>
      <c r="AC148" s="335"/>
      <c r="AD148" s="355"/>
      <c r="AE148" s="335"/>
      <c r="AF148" s="356"/>
    </row>
    <row r="149" spans="1:32" s="289" customFormat="1" ht="54.75" customHeight="1">
      <c r="A149" s="311" t="s">
        <v>0</v>
      </c>
      <c r="B149" s="312" t="s">
        <v>472</v>
      </c>
      <c r="C149" s="312" t="s">
        <v>210</v>
      </c>
      <c r="D149" s="312" t="s">
        <v>473</v>
      </c>
      <c r="E149" s="312" t="s">
        <v>474</v>
      </c>
      <c r="F149" s="311"/>
      <c r="G149" s="311"/>
      <c r="H149" s="106"/>
      <c r="I149" s="106">
        <f>J149</f>
        <v>4042</v>
      </c>
      <c r="J149" s="106">
        <v>4042</v>
      </c>
      <c r="K149" s="106"/>
      <c r="L149" s="106"/>
      <c r="M149" s="106"/>
      <c r="N149" s="106"/>
      <c r="O149" s="106"/>
      <c r="P149" s="106"/>
      <c r="Q149" s="106"/>
      <c r="R149" s="106"/>
      <c r="S149" s="106"/>
      <c r="T149" s="106"/>
      <c r="U149" s="106"/>
      <c r="V149" s="106"/>
      <c r="W149" s="106">
        <f>X149</f>
        <v>4042</v>
      </c>
      <c r="X149" s="106">
        <v>4042</v>
      </c>
      <c r="Y149" s="106"/>
      <c r="Z149" s="106"/>
      <c r="AA149" s="313" t="s">
        <v>475</v>
      </c>
      <c r="AB149" s="314" t="s">
        <v>593</v>
      </c>
      <c r="AC149" s="335"/>
      <c r="AD149" s="355"/>
      <c r="AE149" s="335"/>
      <c r="AF149" s="356"/>
    </row>
    <row r="150" spans="1:32" s="289" customFormat="1" ht="54.75" customHeight="1">
      <c r="A150" s="311" t="s">
        <v>5</v>
      </c>
      <c r="B150" s="325" t="s">
        <v>476</v>
      </c>
      <c r="C150" s="313" t="s">
        <v>250</v>
      </c>
      <c r="D150" s="313" t="s">
        <v>477</v>
      </c>
      <c r="E150" s="313" t="s">
        <v>478</v>
      </c>
      <c r="F150" s="313" t="s">
        <v>479</v>
      </c>
      <c r="G150" s="106">
        <v>8177</v>
      </c>
      <c r="H150" s="106">
        <v>8177</v>
      </c>
      <c r="I150" s="106">
        <v>8177</v>
      </c>
      <c r="J150" s="106">
        <v>8177</v>
      </c>
      <c r="K150" s="106"/>
      <c r="L150" s="106"/>
      <c r="M150" s="106"/>
      <c r="N150" s="106"/>
      <c r="O150" s="106"/>
      <c r="P150" s="106"/>
      <c r="Q150" s="106"/>
      <c r="R150" s="106"/>
      <c r="S150" s="106"/>
      <c r="T150" s="106"/>
      <c r="U150" s="106"/>
      <c r="V150" s="106"/>
      <c r="W150" s="106">
        <v>8177</v>
      </c>
      <c r="X150" s="106">
        <v>8177</v>
      </c>
      <c r="Y150" s="106"/>
      <c r="Z150" s="106"/>
      <c r="AA150" s="313" t="s">
        <v>412</v>
      </c>
      <c r="AB150" s="314" t="s">
        <v>593</v>
      </c>
      <c r="AC150" s="335"/>
      <c r="AD150" s="355"/>
      <c r="AE150" s="335"/>
      <c r="AF150" s="356"/>
    </row>
    <row r="151" spans="1:32" s="289" customFormat="1" ht="54.75" customHeight="1">
      <c r="A151" s="366">
        <v>4</v>
      </c>
      <c r="B151" s="360" t="s">
        <v>702</v>
      </c>
      <c r="C151" s="297" t="s">
        <v>703</v>
      </c>
      <c r="D151" s="297"/>
      <c r="E151" s="297" t="s">
        <v>379</v>
      </c>
      <c r="F151" s="297"/>
      <c r="G151" s="106">
        <v>55100</v>
      </c>
      <c r="H151" s="106">
        <f>42285-4229</f>
        <v>38056</v>
      </c>
      <c r="I151" s="106"/>
      <c r="J151" s="297"/>
      <c r="K151" s="297"/>
      <c r="L151" s="297"/>
      <c r="M151" s="297"/>
      <c r="N151" s="297"/>
      <c r="O151" s="297"/>
      <c r="P151" s="297"/>
      <c r="Q151" s="297"/>
      <c r="R151" s="297"/>
      <c r="S151" s="297"/>
      <c r="T151" s="297"/>
      <c r="U151" s="297"/>
      <c r="V151" s="297"/>
      <c r="W151" s="112">
        <f>X151</f>
        <v>8332</v>
      </c>
      <c r="X151" s="112">
        <v>8332</v>
      </c>
      <c r="Y151" s="297"/>
      <c r="Z151" s="297"/>
      <c r="AA151" s="297"/>
      <c r="AB151" s="314" t="s">
        <v>684</v>
      </c>
      <c r="AC151" s="335"/>
      <c r="AD151" s="355"/>
      <c r="AE151" s="335"/>
      <c r="AF151" s="356"/>
    </row>
    <row r="152" spans="1:32" s="289" customFormat="1" ht="54.75" customHeight="1">
      <c r="A152" s="366">
        <v>5</v>
      </c>
      <c r="B152" s="360" t="s">
        <v>704</v>
      </c>
      <c r="C152" s="297" t="s">
        <v>703</v>
      </c>
      <c r="D152" s="297"/>
      <c r="E152" s="297" t="s">
        <v>409</v>
      </c>
      <c r="F152" s="297"/>
      <c r="G152" s="112">
        <v>22946</v>
      </c>
      <c r="H152" s="112">
        <f>17214-1721</f>
        <v>15493</v>
      </c>
      <c r="I152" s="297"/>
      <c r="J152" s="297"/>
      <c r="K152" s="297"/>
      <c r="L152" s="297"/>
      <c r="M152" s="297"/>
      <c r="N152" s="297"/>
      <c r="O152" s="297"/>
      <c r="P152" s="297"/>
      <c r="Q152" s="297"/>
      <c r="R152" s="297"/>
      <c r="S152" s="297"/>
      <c r="T152" s="297"/>
      <c r="U152" s="297"/>
      <c r="V152" s="297"/>
      <c r="W152" s="112">
        <f t="shared" ref="W152:W155" si="44">X152</f>
        <v>5000</v>
      </c>
      <c r="X152" s="112">
        <v>5000</v>
      </c>
      <c r="Y152" s="297"/>
      <c r="Z152" s="297"/>
      <c r="AA152" s="297"/>
      <c r="AB152" s="314" t="s">
        <v>684</v>
      </c>
      <c r="AC152" s="335"/>
      <c r="AD152" s="355"/>
      <c r="AE152" s="335"/>
      <c r="AF152" s="356"/>
    </row>
    <row r="153" spans="1:32" s="289" customFormat="1" ht="54.75" customHeight="1">
      <c r="A153" s="366">
        <v>6</v>
      </c>
      <c r="B153" s="360" t="s">
        <v>705</v>
      </c>
      <c r="C153" s="297" t="s">
        <v>703</v>
      </c>
      <c r="D153" s="297"/>
      <c r="E153" s="297" t="s">
        <v>409</v>
      </c>
      <c r="F153" s="297"/>
      <c r="G153" s="112">
        <v>8339</v>
      </c>
      <c r="H153" s="112">
        <f>6919-692</f>
        <v>6227</v>
      </c>
      <c r="I153" s="297"/>
      <c r="J153" s="297"/>
      <c r="K153" s="297"/>
      <c r="L153" s="297"/>
      <c r="M153" s="297"/>
      <c r="N153" s="297"/>
      <c r="O153" s="297"/>
      <c r="P153" s="297"/>
      <c r="Q153" s="297"/>
      <c r="R153" s="297"/>
      <c r="S153" s="297"/>
      <c r="T153" s="297"/>
      <c r="U153" s="297"/>
      <c r="V153" s="297"/>
      <c r="W153" s="112">
        <f t="shared" si="44"/>
        <v>2000</v>
      </c>
      <c r="X153" s="112">
        <v>2000</v>
      </c>
      <c r="Y153" s="297"/>
      <c r="Z153" s="297"/>
      <c r="AA153" s="297"/>
      <c r="AB153" s="314" t="s">
        <v>684</v>
      </c>
      <c r="AC153" s="335"/>
      <c r="AD153" s="355"/>
      <c r="AE153" s="335"/>
      <c r="AF153" s="356"/>
    </row>
    <row r="154" spans="1:32" s="289" customFormat="1" ht="54.75" customHeight="1">
      <c r="A154" s="366">
        <v>7</v>
      </c>
      <c r="B154" s="360" t="s">
        <v>706</v>
      </c>
      <c r="C154" s="297" t="s">
        <v>703</v>
      </c>
      <c r="D154" s="297"/>
      <c r="E154" s="297" t="s">
        <v>409</v>
      </c>
      <c r="F154" s="297"/>
      <c r="G154" s="112">
        <v>3607</v>
      </c>
      <c r="H154" s="112">
        <f>2754-275</f>
        <v>2479</v>
      </c>
      <c r="I154" s="297"/>
      <c r="J154" s="297"/>
      <c r="K154" s="297"/>
      <c r="L154" s="297"/>
      <c r="M154" s="297"/>
      <c r="N154" s="297"/>
      <c r="O154" s="297"/>
      <c r="P154" s="297"/>
      <c r="Q154" s="297"/>
      <c r="R154" s="297"/>
      <c r="S154" s="297"/>
      <c r="T154" s="297"/>
      <c r="U154" s="297"/>
      <c r="V154" s="297"/>
      <c r="W154" s="112">
        <f t="shared" si="44"/>
        <v>1000</v>
      </c>
      <c r="X154" s="112">
        <v>1000</v>
      </c>
      <c r="Y154" s="297"/>
      <c r="Z154" s="297"/>
      <c r="AA154" s="297"/>
      <c r="AB154" s="314" t="s">
        <v>684</v>
      </c>
      <c r="AC154" s="335"/>
      <c r="AD154" s="355"/>
      <c r="AE154" s="335"/>
      <c r="AF154" s="356"/>
    </row>
    <row r="155" spans="1:32" s="289" customFormat="1" ht="54.75" customHeight="1">
      <c r="A155" s="366">
        <v>8</v>
      </c>
      <c r="B155" s="360" t="s">
        <v>707</v>
      </c>
      <c r="C155" s="297" t="s">
        <v>703</v>
      </c>
      <c r="D155" s="297"/>
      <c r="E155" s="297" t="s">
        <v>409</v>
      </c>
      <c r="F155" s="297"/>
      <c r="G155" s="112">
        <v>30412</v>
      </c>
      <c r="H155" s="112">
        <f>23078-2308</f>
        <v>20770</v>
      </c>
      <c r="I155" s="297"/>
      <c r="J155" s="297"/>
      <c r="K155" s="297"/>
      <c r="L155" s="297"/>
      <c r="M155" s="297"/>
      <c r="N155" s="297"/>
      <c r="O155" s="297"/>
      <c r="P155" s="297"/>
      <c r="Q155" s="297"/>
      <c r="R155" s="297"/>
      <c r="S155" s="297"/>
      <c r="T155" s="297"/>
      <c r="U155" s="297"/>
      <c r="V155" s="297"/>
      <c r="W155" s="112">
        <f t="shared" si="44"/>
        <v>5000</v>
      </c>
      <c r="X155" s="112">
        <v>5000</v>
      </c>
      <c r="Y155" s="297"/>
      <c r="Z155" s="297"/>
      <c r="AA155" s="297"/>
      <c r="AB155" s="314" t="s">
        <v>684</v>
      </c>
      <c r="AC155" s="335"/>
      <c r="AD155" s="355"/>
      <c r="AE155" s="335"/>
      <c r="AF155" s="356"/>
    </row>
    <row r="156" spans="1:32" s="289" customFormat="1" ht="54.75" customHeight="1">
      <c r="A156" s="366">
        <v>9</v>
      </c>
      <c r="B156" s="360" t="s">
        <v>1229</v>
      </c>
      <c r="C156" s="297" t="s">
        <v>396</v>
      </c>
      <c r="D156" s="297" t="s">
        <v>1181</v>
      </c>
      <c r="E156" s="297" t="s">
        <v>252</v>
      </c>
      <c r="F156" s="297" t="s">
        <v>1182</v>
      </c>
      <c r="G156" s="112">
        <v>39354</v>
      </c>
      <c r="H156" s="112">
        <v>19677</v>
      </c>
      <c r="I156" s="297">
        <v>19677</v>
      </c>
      <c r="J156" s="297">
        <v>19677</v>
      </c>
      <c r="K156" s="297"/>
      <c r="L156" s="297"/>
      <c r="M156" s="297"/>
      <c r="N156" s="297"/>
      <c r="O156" s="297"/>
      <c r="P156" s="297"/>
      <c r="Q156" s="297"/>
      <c r="R156" s="297"/>
      <c r="S156" s="297">
        <v>2292</v>
      </c>
      <c r="T156" s="297">
        <v>2292</v>
      </c>
      <c r="U156" s="297">
        <v>19677</v>
      </c>
      <c r="V156" s="297">
        <v>19677</v>
      </c>
      <c r="W156" s="112">
        <v>0</v>
      </c>
      <c r="X156" s="112"/>
      <c r="Y156" s="297"/>
      <c r="Z156" s="297"/>
      <c r="AA156" s="297" t="s">
        <v>1183</v>
      </c>
      <c r="AB156" s="314" t="s">
        <v>1228</v>
      </c>
      <c r="AC156" s="335"/>
      <c r="AD156" s="355"/>
      <c r="AE156" s="335"/>
      <c r="AF156" s="356"/>
    </row>
    <row r="157" spans="1:32" s="289" customFormat="1" ht="54.75" customHeight="1">
      <c r="A157" s="366">
        <v>10</v>
      </c>
      <c r="B157" s="360" t="s">
        <v>1230</v>
      </c>
      <c r="C157" s="297" t="s">
        <v>396</v>
      </c>
      <c r="D157" s="297" t="s">
        <v>1184</v>
      </c>
      <c r="E157" s="297" t="s">
        <v>252</v>
      </c>
      <c r="F157" s="297" t="s">
        <v>1185</v>
      </c>
      <c r="G157" s="112">
        <v>41734</v>
      </c>
      <c r="H157" s="112">
        <v>21951</v>
      </c>
      <c r="I157" s="297">
        <v>19783</v>
      </c>
      <c r="J157" s="297">
        <v>19783</v>
      </c>
      <c r="K157" s="297"/>
      <c r="L157" s="297"/>
      <c r="M157" s="297"/>
      <c r="N157" s="297"/>
      <c r="O157" s="297"/>
      <c r="P157" s="297"/>
      <c r="Q157" s="297"/>
      <c r="R157" s="297"/>
      <c r="S157" s="297">
        <v>1450</v>
      </c>
      <c r="T157" s="297">
        <v>1450</v>
      </c>
      <c r="U157" s="297">
        <v>19783</v>
      </c>
      <c r="V157" s="297">
        <v>19783</v>
      </c>
      <c r="W157" s="112">
        <v>0</v>
      </c>
      <c r="X157" s="112"/>
      <c r="Y157" s="297"/>
      <c r="Z157" s="297"/>
      <c r="AA157" s="297" t="s">
        <v>1186</v>
      </c>
      <c r="AB157" s="314" t="s">
        <v>1228</v>
      </c>
      <c r="AC157" s="335"/>
      <c r="AD157" s="355"/>
      <c r="AE157" s="335"/>
      <c r="AF157" s="356"/>
    </row>
    <row r="158" spans="1:32" s="289" customFormat="1" ht="54.75" customHeight="1">
      <c r="A158" s="366">
        <v>11</v>
      </c>
      <c r="B158" s="360" t="s">
        <v>1231</v>
      </c>
      <c r="C158" s="297" t="s">
        <v>396</v>
      </c>
      <c r="D158" s="297" t="s">
        <v>1187</v>
      </c>
      <c r="E158" s="297" t="s">
        <v>230</v>
      </c>
      <c r="F158" s="297" t="s">
        <v>1188</v>
      </c>
      <c r="G158" s="112">
        <v>14456</v>
      </c>
      <c r="H158" s="112">
        <v>7228</v>
      </c>
      <c r="I158" s="297">
        <v>7228</v>
      </c>
      <c r="J158" s="297">
        <v>7228</v>
      </c>
      <c r="K158" s="297"/>
      <c r="L158" s="297"/>
      <c r="M158" s="297">
        <v>4000</v>
      </c>
      <c r="N158" s="297">
        <v>4000</v>
      </c>
      <c r="O158" s="297">
        <v>3414</v>
      </c>
      <c r="P158" s="297">
        <v>3414</v>
      </c>
      <c r="Q158" s="297">
        <v>4000</v>
      </c>
      <c r="R158" s="297">
        <v>4000</v>
      </c>
      <c r="S158" s="297">
        <v>4212</v>
      </c>
      <c r="T158" s="297">
        <v>4212</v>
      </c>
      <c r="U158" s="297">
        <v>7000</v>
      </c>
      <c r="V158" s="297">
        <v>7000</v>
      </c>
      <c r="W158" s="112">
        <v>0</v>
      </c>
      <c r="X158" s="112"/>
      <c r="Y158" s="297"/>
      <c r="Z158" s="297"/>
      <c r="AA158" s="297" t="s">
        <v>1189</v>
      </c>
      <c r="AB158" s="314" t="s">
        <v>1228</v>
      </c>
      <c r="AC158" s="335"/>
      <c r="AD158" s="355"/>
      <c r="AE158" s="335"/>
      <c r="AF158" s="356"/>
    </row>
    <row r="159" spans="1:32" s="289" customFormat="1" ht="54.75" customHeight="1">
      <c r="A159" s="366">
        <v>12</v>
      </c>
      <c r="B159" s="360" t="s">
        <v>1232</v>
      </c>
      <c r="C159" s="297" t="s">
        <v>396</v>
      </c>
      <c r="D159" s="297" t="s">
        <v>1190</v>
      </c>
      <c r="E159" s="297" t="s">
        <v>230</v>
      </c>
      <c r="F159" s="297" t="s">
        <v>1191</v>
      </c>
      <c r="G159" s="112">
        <v>10918</v>
      </c>
      <c r="H159" s="112">
        <v>5459</v>
      </c>
      <c r="I159" s="297">
        <v>5459</v>
      </c>
      <c r="J159" s="297">
        <v>5459</v>
      </c>
      <c r="K159" s="297"/>
      <c r="L159" s="297"/>
      <c r="M159" s="297"/>
      <c r="N159" s="297"/>
      <c r="O159" s="297"/>
      <c r="P159" s="297"/>
      <c r="Q159" s="297"/>
      <c r="R159" s="297"/>
      <c r="S159" s="297">
        <v>2959</v>
      </c>
      <c r="T159" s="297">
        <v>2959</v>
      </c>
      <c r="U159" s="297">
        <v>2500</v>
      </c>
      <c r="V159" s="297">
        <v>2500</v>
      </c>
      <c r="W159" s="112">
        <v>0</v>
      </c>
      <c r="X159" s="112"/>
      <c r="Y159" s="297"/>
      <c r="Z159" s="297"/>
      <c r="AA159" s="297" t="s">
        <v>1192</v>
      </c>
      <c r="AB159" s="314" t="s">
        <v>1228</v>
      </c>
      <c r="AC159" s="335"/>
      <c r="AD159" s="355"/>
      <c r="AE159" s="335"/>
      <c r="AF159" s="356"/>
    </row>
    <row r="160" spans="1:32" s="289" customFormat="1" ht="54.75" customHeight="1">
      <c r="A160" s="366">
        <v>13</v>
      </c>
      <c r="B160" s="360" t="s">
        <v>1233</v>
      </c>
      <c r="C160" s="297" t="s">
        <v>396</v>
      </c>
      <c r="D160" s="297" t="s">
        <v>1193</v>
      </c>
      <c r="E160" s="297" t="s">
        <v>230</v>
      </c>
      <c r="F160" s="297" t="s">
        <v>1194</v>
      </c>
      <c r="G160" s="112">
        <v>16212</v>
      </c>
      <c r="H160" s="112">
        <v>8106</v>
      </c>
      <c r="I160" s="297">
        <v>8106</v>
      </c>
      <c r="J160" s="297">
        <v>8106</v>
      </c>
      <c r="K160" s="297"/>
      <c r="L160" s="297"/>
      <c r="M160" s="297">
        <v>2000</v>
      </c>
      <c r="N160" s="297">
        <v>2000</v>
      </c>
      <c r="O160" s="297">
        <v>1746</v>
      </c>
      <c r="P160" s="297">
        <v>1746</v>
      </c>
      <c r="Q160" s="297">
        <v>2000</v>
      </c>
      <c r="R160" s="297">
        <v>2000</v>
      </c>
      <c r="S160" s="297">
        <v>4240</v>
      </c>
      <c r="T160" s="297">
        <v>4240</v>
      </c>
      <c r="U160" s="297">
        <v>8000</v>
      </c>
      <c r="V160" s="297">
        <v>8000</v>
      </c>
      <c r="W160" s="112">
        <v>0</v>
      </c>
      <c r="X160" s="112"/>
      <c r="Y160" s="297"/>
      <c r="Z160" s="297"/>
      <c r="AA160" s="297" t="s">
        <v>1195</v>
      </c>
      <c r="AB160" s="314" t="s">
        <v>1228</v>
      </c>
      <c r="AC160" s="335"/>
      <c r="AD160" s="355"/>
      <c r="AE160" s="335"/>
      <c r="AF160" s="356"/>
    </row>
    <row r="161" spans="1:32" s="289" customFormat="1" ht="54.75" customHeight="1">
      <c r="A161" s="366">
        <v>14</v>
      </c>
      <c r="B161" s="360" t="s">
        <v>1196</v>
      </c>
      <c r="C161" s="297" t="s">
        <v>396</v>
      </c>
      <c r="D161" s="297" t="s">
        <v>1197</v>
      </c>
      <c r="E161" s="297" t="s">
        <v>252</v>
      </c>
      <c r="F161" s="297" t="s">
        <v>1198</v>
      </c>
      <c r="G161" s="112">
        <v>16611</v>
      </c>
      <c r="H161" s="112">
        <v>11930</v>
      </c>
      <c r="I161" s="297">
        <v>11688</v>
      </c>
      <c r="J161" s="297">
        <v>11688</v>
      </c>
      <c r="K161" s="297"/>
      <c r="L161" s="297"/>
      <c r="M161" s="297"/>
      <c r="N161" s="297"/>
      <c r="O161" s="297"/>
      <c r="P161" s="297"/>
      <c r="Q161" s="297"/>
      <c r="R161" s="297"/>
      <c r="S161" s="297">
        <v>928</v>
      </c>
      <c r="T161" s="297">
        <v>928</v>
      </c>
      <c r="U161" s="297">
        <v>11688</v>
      </c>
      <c r="V161" s="297">
        <v>11688</v>
      </c>
      <c r="W161" s="112">
        <v>0</v>
      </c>
      <c r="X161" s="112"/>
      <c r="Y161" s="297"/>
      <c r="Z161" s="297"/>
      <c r="AA161" s="297" t="s">
        <v>1199</v>
      </c>
      <c r="AB161" s="314" t="s">
        <v>1228</v>
      </c>
      <c r="AC161" s="335"/>
      <c r="AD161" s="355"/>
      <c r="AE161" s="335"/>
      <c r="AF161" s="356"/>
    </row>
    <row r="162" spans="1:32" s="289" customFormat="1" ht="54.75" customHeight="1">
      <c r="A162" s="366">
        <v>15</v>
      </c>
      <c r="B162" s="360" t="s">
        <v>1234</v>
      </c>
      <c r="C162" s="297" t="s">
        <v>396</v>
      </c>
      <c r="D162" s="297" t="s">
        <v>1200</v>
      </c>
      <c r="E162" s="297" t="s">
        <v>252</v>
      </c>
      <c r="F162" s="297" t="s">
        <v>1201</v>
      </c>
      <c r="G162" s="112">
        <v>23908</v>
      </c>
      <c r="H162" s="112">
        <v>11954</v>
      </c>
      <c r="I162" s="297">
        <v>11954</v>
      </c>
      <c r="J162" s="297">
        <v>11954</v>
      </c>
      <c r="K162" s="297"/>
      <c r="L162" s="297"/>
      <c r="M162" s="297"/>
      <c r="N162" s="297"/>
      <c r="O162" s="297"/>
      <c r="P162" s="297"/>
      <c r="Q162" s="297"/>
      <c r="R162" s="297"/>
      <c r="S162" s="297">
        <v>822</v>
      </c>
      <c r="T162" s="297">
        <v>822</v>
      </c>
      <c r="U162" s="297">
        <v>11954</v>
      </c>
      <c r="V162" s="297">
        <v>11954</v>
      </c>
      <c r="W162" s="112">
        <v>0</v>
      </c>
      <c r="X162" s="112"/>
      <c r="Y162" s="297"/>
      <c r="Z162" s="297"/>
      <c r="AA162" s="297" t="s">
        <v>1202</v>
      </c>
      <c r="AB162" s="314" t="s">
        <v>1228</v>
      </c>
      <c r="AC162" s="335"/>
      <c r="AD162" s="355"/>
      <c r="AE162" s="335"/>
      <c r="AF162" s="356"/>
    </row>
    <row r="163" spans="1:32" s="289" customFormat="1" ht="54.75" customHeight="1">
      <c r="A163" s="366">
        <v>16</v>
      </c>
      <c r="B163" s="360" t="s">
        <v>1235</v>
      </c>
      <c r="C163" s="297" t="s">
        <v>396</v>
      </c>
      <c r="D163" s="297" t="s">
        <v>1203</v>
      </c>
      <c r="E163" s="297" t="s">
        <v>230</v>
      </c>
      <c r="F163" s="297" t="s">
        <v>1204</v>
      </c>
      <c r="G163" s="112">
        <v>18570</v>
      </c>
      <c r="H163" s="112">
        <v>9285</v>
      </c>
      <c r="I163" s="297">
        <v>9285</v>
      </c>
      <c r="J163" s="297">
        <v>9285</v>
      </c>
      <c r="K163" s="297"/>
      <c r="L163" s="297"/>
      <c r="M163" s="297">
        <v>3000</v>
      </c>
      <c r="N163" s="297">
        <v>3000</v>
      </c>
      <c r="O163" s="297">
        <v>1709</v>
      </c>
      <c r="P163" s="297">
        <v>1709</v>
      </c>
      <c r="Q163" s="297">
        <v>2300</v>
      </c>
      <c r="R163" s="297">
        <v>2300</v>
      </c>
      <c r="S163" s="297">
        <v>3000</v>
      </c>
      <c r="T163" s="297">
        <v>3000</v>
      </c>
      <c r="U163" s="297">
        <v>7000</v>
      </c>
      <c r="V163" s="297">
        <v>7000</v>
      </c>
      <c r="W163" s="112">
        <v>0</v>
      </c>
      <c r="X163" s="112"/>
      <c r="Y163" s="297"/>
      <c r="Z163" s="297"/>
      <c r="AA163" s="297"/>
      <c r="AB163" s="314" t="s">
        <v>1228</v>
      </c>
      <c r="AC163" s="335"/>
      <c r="AD163" s="355"/>
      <c r="AE163" s="335"/>
      <c r="AF163" s="356"/>
    </row>
    <row r="164" spans="1:32" s="289" customFormat="1" ht="54.75" customHeight="1">
      <c r="A164" s="366">
        <v>17</v>
      </c>
      <c r="B164" s="360" t="s">
        <v>1236</v>
      </c>
      <c r="C164" s="297" t="s">
        <v>396</v>
      </c>
      <c r="D164" s="297" t="s">
        <v>1205</v>
      </c>
      <c r="E164" s="297" t="s">
        <v>230</v>
      </c>
      <c r="F164" s="297" t="s">
        <v>1206</v>
      </c>
      <c r="G164" s="112">
        <v>42847</v>
      </c>
      <c r="H164" s="112">
        <v>22502</v>
      </c>
      <c r="I164" s="297">
        <v>20345</v>
      </c>
      <c r="J164" s="297">
        <v>20345</v>
      </c>
      <c r="K164" s="297"/>
      <c r="L164" s="297"/>
      <c r="M164" s="297">
        <v>17000</v>
      </c>
      <c r="N164" s="297">
        <v>17000</v>
      </c>
      <c r="O164" s="297">
        <v>2180</v>
      </c>
      <c r="P164" s="297">
        <v>2180</v>
      </c>
      <c r="Q164" s="297">
        <v>7000</v>
      </c>
      <c r="R164" s="297">
        <v>7000</v>
      </c>
      <c r="S164" s="297">
        <v>12000</v>
      </c>
      <c r="T164" s="297">
        <v>12000</v>
      </c>
      <c r="U164" s="297">
        <v>20000</v>
      </c>
      <c r="V164" s="297">
        <v>20000</v>
      </c>
      <c r="W164" s="112">
        <v>0</v>
      </c>
      <c r="X164" s="112"/>
      <c r="Y164" s="297"/>
      <c r="Z164" s="297"/>
      <c r="AA164" s="297" t="s">
        <v>1207</v>
      </c>
      <c r="AB164" s="314" t="s">
        <v>1228</v>
      </c>
      <c r="AC164" s="335"/>
      <c r="AD164" s="355"/>
      <c r="AE164" s="335"/>
      <c r="AF164" s="356"/>
    </row>
    <row r="165" spans="1:32" s="289" customFormat="1" ht="54.75" customHeight="1">
      <c r="A165" s="366">
        <v>18</v>
      </c>
      <c r="B165" s="360" t="s">
        <v>1237</v>
      </c>
      <c r="C165" s="297" t="s">
        <v>396</v>
      </c>
      <c r="D165" s="297" t="s">
        <v>1208</v>
      </c>
      <c r="E165" s="297" t="s">
        <v>230</v>
      </c>
      <c r="F165" s="297" t="s">
        <v>1209</v>
      </c>
      <c r="G165" s="112">
        <v>18828</v>
      </c>
      <c r="H165" s="112">
        <v>9414</v>
      </c>
      <c r="I165" s="297">
        <v>9414</v>
      </c>
      <c r="J165" s="297">
        <v>9414</v>
      </c>
      <c r="K165" s="297"/>
      <c r="L165" s="297"/>
      <c r="M165" s="297"/>
      <c r="N165" s="297"/>
      <c r="O165" s="297"/>
      <c r="P165" s="297"/>
      <c r="Q165" s="297"/>
      <c r="R165" s="297"/>
      <c r="S165" s="297">
        <v>3000</v>
      </c>
      <c r="T165" s="297">
        <v>3000</v>
      </c>
      <c r="U165" s="297">
        <v>3000</v>
      </c>
      <c r="V165" s="297">
        <v>3000</v>
      </c>
      <c r="W165" s="112">
        <v>6000</v>
      </c>
      <c r="X165" s="112">
        <v>6000</v>
      </c>
      <c r="Y165" s="297"/>
      <c r="Z165" s="297"/>
      <c r="AA165" s="297" t="s">
        <v>1210</v>
      </c>
      <c r="AB165" s="314" t="s">
        <v>1228</v>
      </c>
      <c r="AC165" s="335"/>
      <c r="AD165" s="355"/>
      <c r="AE165" s="335"/>
      <c r="AF165" s="356"/>
    </row>
    <row r="166" spans="1:32" s="289" customFormat="1" ht="54.75" customHeight="1">
      <c r="A166" s="366">
        <v>19</v>
      </c>
      <c r="B166" s="360" t="s">
        <v>1238</v>
      </c>
      <c r="C166" s="297" t="s">
        <v>396</v>
      </c>
      <c r="D166" s="297" t="s">
        <v>1211</v>
      </c>
      <c r="E166" s="297" t="s">
        <v>230</v>
      </c>
      <c r="F166" s="297" t="s">
        <v>1212</v>
      </c>
      <c r="G166" s="112">
        <v>42338</v>
      </c>
      <c r="H166" s="112">
        <v>20377</v>
      </c>
      <c r="I166" s="297">
        <v>21961</v>
      </c>
      <c r="J166" s="297">
        <v>21961</v>
      </c>
      <c r="K166" s="297"/>
      <c r="L166" s="297"/>
      <c r="M166" s="297"/>
      <c r="N166" s="297"/>
      <c r="O166" s="297"/>
      <c r="P166" s="297"/>
      <c r="Q166" s="297"/>
      <c r="R166" s="297"/>
      <c r="S166" s="297">
        <v>2000</v>
      </c>
      <c r="T166" s="297">
        <v>2000</v>
      </c>
      <c r="U166" s="297">
        <v>2000</v>
      </c>
      <c r="V166" s="297">
        <v>2000</v>
      </c>
      <c r="W166" s="112">
        <v>19961</v>
      </c>
      <c r="X166" s="112">
        <v>19961</v>
      </c>
      <c r="Y166" s="297"/>
      <c r="Z166" s="297"/>
      <c r="AA166" s="297" t="s">
        <v>1213</v>
      </c>
      <c r="AB166" s="314" t="s">
        <v>1228</v>
      </c>
      <c r="AC166" s="335"/>
      <c r="AD166" s="355"/>
      <c r="AE166" s="335"/>
      <c r="AF166" s="356"/>
    </row>
    <row r="167" spans="1:32" s="289" customFormat="1" ht="54.75" customHeight="1">
      <c r="A167" s="366">
        <v>20</v>
      </c>
      <c r="B167" s="360" t="s">
        <v>1239</v>
      </c>
      <c r="C167" s="297" t="s">
        <v>396</v>
      </c>
      <c r="D167" s="297" t="s">
        <v>1214</v>
      </c>
      <c r="E167" s="297" t="s">
        <v>230</v>
      </c>
      <c r="F167" s="297" t="s">
        <v>1215</v>
      </c>
      <c r="G167" s="112">
        <v>6984</v>
      </c>
      <c r="H167" s="112">
        <v>5476</v>
      </c>
      <c r="I167" s="297">
        <v>5475</v>
      </c>
      <c r="J167" s="297">
        <v>5475</v>
      </c>
      <c r="K167" s="297"/>
      <c r="L167" s="297"/>
      <c r="M167" s="297">
        <v>2000</v>
      </c>
      <c r="N167" s="297">
        <v>2000</v>
      </c>
      <c r="O167" s="297">
        <v>2000</v>
      </c>
      <c r="P167" s="297">
        <v>2000</v>
      </c>
      <c r="Q167" s="297">
        <v>2000</v>
      </c>
      <c r="R167" s="297">
        <v>2000</v>
      </c>
      <c r="S167" s="297">
        <v>2000</v>
      </c>
      <c r="T167" s="297">
        <v>2000</v>
      </c>
      <c r="U167" s="297">
        <v>5000</v>
      </c>
      <c r="V167" s="297">
        <v>5000</v>
      </c>
      <c r="W167" s="112">
        <v>0</v>
      </c>
      <c r="X167" s="112"/>
      <c r="Y167" s="297"/>
      <c r="Z167" s="297"/>
      <c r="AA167" s="297"/>
      <c r="AB167" s="314" t="s">
        <v>1228</v>
      </c>
      <c r="AC167" s="335"/>
      <c r="AD167" s="355"/>
      <c r="AE167" s="335"/>
      <c r="AF167" s="356"/>
    </row>
    <row r="168" spans="1:32" s="289" customFormat="1" ht="54.75" customHeight="1">
      <c r="A168" s="366">
        <v>21</v>
      </c>
      <c r="B168" s="360" t="s">
        <v>1240</v>
      </c>
      <c r="C168" s="297" t="s">
        <v>396</v>
      </c>
      <c r="D168" s="297" t="s">
        <v>1216</v>
      </c>
      <c r="E168" s="297" t="s">
        <v>230</v>
      </c>
      <c r="F168" s="297" t="s">
        <v>1217</v>
      </c>
      <c r="G168" s="112">
        <v>19226</v>
      </c>
      <c r="H168" s="112">
        <v>9613</v>
      </c>
      <c r="I168" s="297">
        <v>9613</v>
      </c>
      <c r="J168" s="297">
        <v>9613</v>
      </c>
      <c r="K168" s="297"/>
      <c r="L168" s="297"/>
      <c r="M168" s="297"/>
      <c r="N168" s="297"/>
      <c r="O168" s="297"/>
      <c r="P168" s="297"/>
      <c r="Q168" s="297"/>
      <c r="R168" s="297"/>
      <c r="S168" s="297">
        <v>3000</v>
      </c>
      <c r="T168" s="297">
        <v>3000</v>
      </c>
      <c r="U168" s="297">
        <v>3000</v>
      </c>
      <c r="V168" s="297">
        <v>3000</v>
      </c>
      <c r="W168" s="112">
        <v>6600</v>
      </c>
      <c r="X168" s="112">
        <v>6600</v>
      </c>
      <c r="Y168" s="297"/>
      <c r="Z168" s="297"/>
      <c r="AA168" s="297" t="s">
        <v>1210</v>
      </c>
      <c r="AB168" s="314" t="s">
        <v>1228</v>
      </c>
      <c r="AC168" s="335"/>
      <c r="AD168" s="355"/>
      <c r="AE168" s="335"/>
      <c r="AF168" s="356"/>
    </row>
    <row r="169" spans="1:32" s="289" customFormat="1" ht="54.75" customHeight="1">
      <c r="A169" s="366">
        <v>22</v>
      </c>
      <c r="B169" s="360" t="s">
        <v>1241</v>
      </c>
      <c r="C169" s="297" t="s">
        <v>396</v>
      </c>
      <c r="D169" s="297" t="s">
        <v>1218</v>
      </c>
      <c r="E169" s="297" t="s">
        <v>312</v>
      </c>
      <c r="F169" s="297"/>
      <c r="G169" s="112">
        <v>19986</v>
      </c>
      <c r="H169" s="112">
        <v>10884</v>
      </c>
      <c r="I169" s="297">
        <v>9102</v>
      </c>
      <c r="J169" s="297">
        <v>9102</v>
      </c>
      <c r="K169" s="297"/>
      <c r="L169" s="297"/>
      <c r="M169" s="297"/>
      <c r="N169" s="297"/>
      <c r="O169" s="297"/>
      <c r="P169" s="297"/>
      <c r="Q169" s="297"/>
      <c r="R169" s="297"/>
      <c r="S169" s="297">
        <v>0</v>
      </c>
      <c r="T169" s="297"/>
      <c r="U169" s="297">
        <v>0</v>
      </c>
      <c r="V169" s="297">
        <v>0</v>
      </c>
      <c r="W169" s="112">
        <v>6000</v>
      </c>
      <c r="X169" s="112">
        <v>6000</v>
      </c>
      <c r="Y169" s="297"/>
      <c r="Z169" s="297"/>
      <c r="AA169" s="297"/>
      <c r="AB169" s="314" t="s">
        <v>1228</v>
      </c>
      <c r="AC169" s="335"/>
      <c r="AD169" s="355"/>
      <c r="AE169" s="335"/>
      <c r="AF169" s="356"/>
    </row>
    <row r="170" spans="1:32" s="289" customFormat="1" ht="54.75" customHeight="1">
      <c r="A170" s="366">
        <v>23</v>
      </c>
      <c r="B170" s="360" t="s">
        <v>1242</v>
      </c>
      <c r="C170" s="297" t="s">
        <v>396</v>
      </c>
      <c r="D170" s="297" t="s">
        <v>1219</v>
      </c>
      <c r="E170" s="297" t="s">
        <v>230</v>
      </c>
      <c r="F170" s="297" t="s">
        <v>1220</v>
      </c>
      <c r="G170" s="112">
        <v>31116</v>
      </c>
      <c r="H170" s="112">
        <v>15558</v>
      </c>
      <c r="I170" s="297">
        <v>15558</v>
      </c>
      <c r="J170" s="297">
        <v>15558</v>
      </c>
      <c r="K170" s="297"/>
      <c r="L170" s="297"/>
      <c r="M170" s="297">
        <v>11558</v>
      </c>
      <c r="N170" s="297">
        <v>11558</v>
      </c>
      <c r="O170" s="297">
        <v>1608</v>
      </c>
      <c r="P170" s="297">
        <v>1608</v>
      </c>
      <c r="Q170" s="297">
        <v>2000</v>
      </c>
      <c r="R170" s="297">
        <v>2000</v>
      </c>
      <c r="S170" s="297">
        <v>7214</v>
      </c>
      <c r="T170" s="297">
        <v>7214</v>
      </c>
      <c r="U170" s="297">
        <v>15558</v>
      </c>
      <c r="V170" s="297">
        <v>15558</v>
      </c>
      <c r="W170" s="112">
        <v>0</v>
      </c>
      <c r="X170" s="112"/>
      <c r="Y170" s="297"/>
      <c r="Z170" s="297"/>
      <c r="AA170" s="297" t="s">
        <v>1221</v>
      </c>
      <c r="AB170" s="314" t="s">
        <v>1228</v>
      </c>
      <c r="AC170" s="335"/>
      <c r="AD170" s="355"/>
      <c r="AE170" s="335"/>
      <c r="AF170" s="356"/>
    </row>
    <row r="171" spans="1:32" s="289" customFormat="1" ht="54.75" customHeight="1">
      <c r="A171" s="366">
        <v>24</v>
      </c>
      <c r="B171" s="360" t="s">
        <v>1243</v>
      </c>
      <c r="C171" s="297" t="s">
        <v>396</v>
      </c>
      <c r="D171" s="297" t="s">
        <v>1222</v>
      </c>
      <c r="E171" s="297" t="s">
        <v>230</v>
      </c>
      <c r="F171" s="297" t="s">
        <v>1223</v>
      </c>
      <c r="G171" s="112">
        <v>23038</v>
      </c>
      <c r="H171" s="112">
        <v>12125</v>
      </c>
      <c r="I171" s="297">
        <v>10913</v>
      </c>
      <c r="J171" s="297">
        <v>10913</v>
      </c>
      <c r="K171" s="297"/>
      <c r="L171" s="297"/>
      <c r="M171" s="297">
        <v>5000</v>
      </c>
      <c r="N171" s="297">
        <v>5000</v>
      </c>
      <c r="O171" s="297">
        <v>2297</v>
      </c>
      <c r="P171" s="297">
        <v>2297</v>
      </c>
      <c r="Q171" s="297">
        <v>4000</v>
      </c>
      <c r="R171" s="297">
        <v>4000</v>
      </c>
      <c r="S171" s="297">
        <v>6000</v>
      </c>
      <c r="T171" s="297">
        <v>6000</v>
      </c>
      <c r="U171" s="297">
        <v>8000</v>
      </c>
      <c r="V171" s="297">
        <v>8000</v>
      </c>
      <c r="W171" s="112">
        <v>0</v>
      </c>
      <c r="X171" s="112"/>
      <c r="Y171" s="297"/>
      <c r="Z171" s="297"/>
      <c r="AA171" s="297" t="s">
        <v>1224</v>
      </c>
      <c r="AB171" s="314" t="s">
        <v>1228</v>
      </c>
      <c r="AC171" s="335"/>
      <c r="AD171" s="355"/>
      <c r="AE171" s="335"/>
      <c r="AF171" s="356"/>
    </row>
    <row r="172" spans="1:32" s="289" customFormat="1" ht="54.75" customHeight="1">
      <c r="A172" s="366">
        <v>25</v>
      </c>
      <c r="B172" s="360" t="s">
        <v>1244</v>
      </c>
      <c r="C172" s="297" t="s">
        <v>396</v>
      </c>
      <c r="D172" s="297" t="s">
        <v>1225</v>
      </c>
      <c r="E172" s="297" t="s">
        <v>252</v>
      </c>
      <c r="F172" s="297" t="s">
        <v>1226</v>
      </c>
      <c r="G172" s="112">
        <v>34776</v>
      </c>
      <c r="H172" s="112">
        <v>17388</v>
      </c>
      <c r="I172" s="297">
        <v>17388</v>
      </c>
      <c r="J172" s="297">
        <v>17388</v>
      </c>
      <c r="K172" s="297"/>
      <c r="L172" s="297"/>
      <c r="M172" s="297"/>
      <c r="N172" s="297"/>
      <c r="O172" s="297"/>
      <c r="P172" s="297"/>
      <c r="Q172" s="297"/>
      <c r="R172" s="297"/>
      <c r="S172" s="297">
        <v>2240</v>
      </c>
      <c r="T172" s="297">
        <v>2240</v>
      </c>
      <c r="U172" s="297">
        <v>15649</v>
      </c>
      <c r="V172" s="297">
        <v>15649</v>
      </c>
      <c r="W172" s="112">
        <v>0</v>
      </c>
      <c r="X172" s="112"/>
      <c r="Y172" s="297"/>
      <c r="Z172" s="297"/>
      <c r="AA172" s="297" t="s">
        <v>1227</v>
      </c>
      <c r="AB172" s="314" t="s">
        <v>1228</v>
      </c>
      <c r="AC172" s="335"/>
      <c r="AD172" s="355"/>
      <c r="AE172" s="335"/>
      <c r="AF172" s="356"/>
    </row>
    <row r="173" spans="1:32" s="289" customFormat="1" ht="37.5">
      <c r="A173" s="300" t="s">
        <v>142</v>
      </c>
      <c r="B173" s="301" t="s">
        <v>508</v>
      </c>
      <c r="C173" s="297"/>
      <c r="D173" s="297"/>
      <c r="E173" s="297"/>
      <c r="F173" s="297"/>
      <c r="G173" s="104">
        <f>+G174+G176</f>
        <v>2720364</v>
      </c>
      <c r="H173" s="104">
        <f t="shared" ref="H173:Z173" si="45">+H174+H176</f>
        <v>2210255</v>
      </c>
      <c r="I173" s="104">
        <f t="shared" si="45"/>
        <v>1159067</v>
      </c>
      <c r="J173" s="104">
        <f t="shared" si="45"/>
        <v>971427</v>
      </c>
      <c r="K173" s="104">
        <f t="shared" si="45"/>
        <v>0</v>
      </c>
      <c r="L173" s="104">
        <f t="shared" si="45"/>
        <v>0</v>
      </c>
      <c r="M173" s="104">
        <f t="shared" si="45"/>
        <v>559992</v>
      </c>
      <c r="N173" s="104">
        <f t="shared" si="45"/>
        <v>312147</v>
      </c>
      <c r="O173" s="104">
        <f t="shared" si="45"/>
        <v>17833.609</v>
      </c>
      <c r="P173" s="104">
        <f t="shared" si="45"/>
        <v>17833.609</v>
      </c>
      <c r="Q173" s="104">
        <f t="shared" si="45"/>
        <v>188686.8</v>
      </c>
      <c r="R173" s="104">
        <f t="shared" si="45"/>
        <v>92681.8</v>
      </c>
      <c r="S173" s="104">
        <f t="shared" si="45"/>
        <v>331703</v>
      </c>
      <c r="T173" s="104">
        <f t="shared" si="45"/>
        <v>218417</v>
      </c>
      <c r="U173" s="104">
        <f t="shared" si="45"/>
        <v>992434.71900000004</v>
      </c>
      <c r="V173" s="104">
        <f t="shared" si="45"/>
        <v>734589.71900000004</v>
      </c>
      <c r="W173" s="104">
        <f t="shared" si="45"/>
        <v>509031</v>
      </c>
      <c r="X173" s="104">
        <f t="shared" si="45"/>
        <v>185397</v>
      </c>
      <c r="Y173" s="104">
        <f t="shared" si="45"/>
        <v>0</v>
      </c>
      <c r="Z173" s="104">
        <f t="shared" si="45"/>
        <v>0</v>
      </c>
      <c r="AA173" s="297"/>
      <c r="AB173" s="297"/>
      <c r="AC173" s="335"/>
      <c r="AD173" s="355"/>
      <c r="AE173" s="335"/>
      <c r="AF173" s="356"/>
    </row>
    <row r="174" spans="1:32" s="289" customFormat="1" ht="19.5">
      <c r="A174" s="302" t="s">
        <v>38</v>
      </c>
      <c r="B174" s="301" t="s">
        <v>83</v>
      </c>
      <c r="C174" s="297"/>
      <c r="D174" s="297"/>
      <c r="E174" s="297"/>
      <c r="F174" s="297"/>
      <c r="G174" s="104">
        <f>G175</f>
        <v>938903</v>
      </c>
      <c r="H174" s="104">
        <f t="shared" ref="H174:Z174" si="46">H175</f>
        <v>938903</v>
      </c>
      <c r="I174" s="104">
        <f t="shared" si="46"/>
        <v>0</v>
      </c>
      <c r="J174" s="104">
        <f t="shared" si="46"/>
        <v>0</v>
      </c>
      <c r="K174" s="104">
        <f t="shared" si="46"/>
        <v>0</v>
      </c>
      <c r="L174" s="104">
        <f t="shared" si="46"/>
        <v>0</v>
      </c>
      <c r="M174" s="104">
        <f t="shared" si="46"/>
        <v>0</v>
      </c>
      <c r="N174" s="104">
        <f t="shared" si="46"/>
        <v>0</v>
      </c>
      <c r="O174" s="104">
        <f t="shared" si="46"/>
        <v>0</v>
      </c>
      <c r="P174" s="104">
        <f t="shared" si="46"/>
        <v>0</v>
      </c>
      <c r="Q174" s="104">
        <f t="shared" si="46"/>
        <v>0</v>
      </c>
      <c r="R174" s="104">
        <f t="shared" si="46"/>
        <v>0</v>
      </c>
      <c r="S174" s="104">
        <f t="shared" si="46"/>
        <v>0</v>
      </c>
      <c r="T174" s="104">
        <f t="shared" si="46"/>
        <v>0</v>
      </c>
      <c r="U174" s="104">
        <f t="shared" si="46"/>
        <v>0</v>
      </c>
      <c r="V174" s="104">
        <f t="shared" si="46"/>
        <v>0</v>
      </c>
      <c r="W174" s="104">
        <f t="shared" si="46"/>
        <v>3000</v>
      </c>
      <c r="X174" s="104">
        <f t="shared" si="46"/>
        <v>3000</v>
      </c>
      <c r="Y174" s="104">
        <f t="shared" si="46"/>
        <v>0</v>
      </c>
      <c r="Z174" s="104">
        <f t="shared" si="46"/>
        <v>0</v>
      </c>
      <c r="AA174" s="297"/>
      <c r="AB174" s="110"/>
      <c r="AC174" s="335"/>
      <c r="AD174" s="355"/>
      <c r="AE174" s="335"/>
      <c r="AF174" s="356"/>
    </row>
    <row r="175" spans="1:32" s="289" customFormat="1" ht="54.75" customHeight="1">
      <c r="A175" s="317"/>
      <c r="B175" s="312" t="s">
        <v>480</v>
      </c>
      <c r="C175" s="297" t="s">
        <v>401</v>
      </c>
      <c r="D175" s="297"/>
      <c r="E175" s="297" t="s">
        <v>481</v>
      </c>
      <c r="F175" s="297"/>
      <c r="G175" s="106">
        <f>H175</f>
        <v>938903</v>
      </c>
      <c r="H175" s="106">
        <v>938903</v>
      </c>
      <c r="I175" s="106">
        <f>J175</f>
        <v>0</v>
      </c>
      <c r="J175" s="106">
        <f>K175+L175</f>
        <v>0</v>
      </c>
      <c r="K175" s="106">
        <v>0</v>
      </c>
      <c r="L175" s="106">
        <v>0</v>
      </c>
      <c r="M175" s="106">
        <f>N175</f>
        <v>0</v>
      </c>
      <c r="N175" s="106">
        <v>0</v>
      </c>
      <c r="O175" s="106">
        <f>P175</f>
        <v>0</v>
      </c>
      <c r="P175" s="106">
        <v>0</v>
      </c>
      <c r="Q175" s="106">
        <f>R175</f>
        <v>0</v>
      </c>
      <c r="R175" s="106">
        <v>0</v>
      </c>
      <c r="S175" s="106">
        <f>T175</f>
        <v>0</v>
      </c>
      <c r="T175" s="106">
        <v>0</v>
      </c>
      <c r="U175" s="106">
        <f>V175</f>
        <v>0</v>
      </c>
      <c r="V175" s="106">
        <v>0</v>
      </c>
      <c r="W175" s="106">
        <f>X175</f>
        <v>3000</v>
      </c>
      <c r="X175" s="106">
        <v>3000</v>
      </c>
      <c r="Y175" s="106"/>
      <c r="Z175" s="106"/>
      <c r="AA175" s="297" t="s">
        <v>828</v>
      </c>
      <c r="AB175" s="314" t="s">
        <v>593</v>
      </c>
      <c r="AC175" s="335"/>
      <c r="AD175" s="355"/>
      <c r="AE175" s="335"/>
      <c r="AF175" s="356"/>
    </row>
    <row r="176" spans="1:32" s="289" customFormat="1" ht="19.5">
      <c r="A176" s="302" t="s">
        <v>43</v>
      </c>
      <c r="B176" s="301" t="s">
        <v>58</v>
      </c>
      <c r="C176" s="297"/>
      <c r="D176" s="297"/>
      <c r="E176" s="297"/>
      <c r="F176" s="297"/>
      <c r="G176" s="104">
        <f t="shared" ref="G176:Z176" si="47">+G177+G186+G197+G201</f>
        <v>1781461</v>
      </c>
      <c r="H176" s="104">
        <f t="shared" si="47"/>
        <v>1271352</v>
      </c>
      <c r="I176" s="104">
        <f t="shared" si="47"/>
        <v>1159067</v>
      </c>
      <c r="J176" s="104">
        <f t="shared" si="47"/>
        <v>971427</v>
      </c>
      <c r="K176" s="104">
        <f t="shared" si="47"/>
        <v>0</v>
      </c>
      <c r="L176" s="104">
        <f t="shared" si="47"/>
        <v>0</v>
      </c>
      <c r="M176" s="104">
        <f t="shared" si="47"/>
        <v>559992</v>
      </c>
      <c r="N176" s="104">
        <f t="shared" si="47"/>
        <v>312147</v>
      </c>
      <c r="O176" s="104">
        <f t="shared" si="47"/>
        <v>17833.609</v>
      </c>
      <c r="P176" s="104">
        <f t="shared" si="47"/>
        <v>17833.609</v>
      </c>
      <c r="Q176" s="104">
        <f t="shared" si="47"/>
        <v>188686.8</v>
      </c>
      <c r="R176" s="104">
        <f t="shared" si="47"/>
        <v>92681.8</v>
      </c>
      <c r="S176" s="104">
        <f t="shared" si="47"/>
        <v>331703</v>
      </c>
      <c r="T176" s="104">
        <f t="shared" si="47"/>
        <v>218417</v>
      </c>
      <c r="U176" s="104">
        <f t="shared" si="47"/>
        <v>992434.71900000004</v>
      </c>
      <c r="V176" s="104">
        <f t="shared" si="47"/>
        <v>734589.71900000004</v>
      </c>
      <c r="W176" s="104">
        <f t="shared" si="47"/>
        <v>506031</v>
      </c>
      <c r="X176" s="104">
        <f t="shared" si="47"/>
        <v>182397</v>
      </c>
      <c r="Y176" s="104">
        <f t="shared" si="47"/>
        <v>0</v>
      </c>
      <c r="Z176" s="104">
        <f t="shared" si="47"/>
        <v>0</v>
      </c>
      <c r="AA176" s="297"/>
      <c r="AB176" s="110"/>
      <c r="AC176" s="335"/>
      <c r="AD176" s="355"/>
      <c r="AE176" s="335"/>
      <c r="AF176" s="356"/>
    </row>
    <row r="177" spans="1:32" s="289" customFormat="1" ht="56.25">
      <c r="A177" s="303" t="s">
        <v>39</v>
      </c>
      <c r="B177" s="304" t="s">
        <v>108</v>
      </c>
      <c r="C177" s="305"/>
      <c r="D177" s="305"/>
      <c r="E177" s="305"/>
      <c r="F177" s="305"/>
      <c r="G177" s="104">
        <f>+G178+G182</f>
        <v>658996</v>
      </c>
      <c r="H177" s="104">
        <f t="shared" ref="H177:Z177" si="48">+H178+H182</f>
        <v>598996</v>
      </c>
      <c r="I177" s="104">
        <f t="shared" si="48"/>
        <v>557146</v>
      </c>
      <c r="J177" s="104">
        <f t="shared" si="48"/>
        <v>547146</v>
      </c>
      <c r="K177" s="104">
        <f t="shared" si="48"/>
        <v>0</v>
      </c>
      <c r="L177" s="104">
        <f t="shared" si="48"/>
        <v>0</v>
      </c>
      <c r="M177" s="104">
        <f t="shared" si="48"/>
        <v>137628</v>
      </c>
      <c r="N177" s="104">
        <f t="shared" si="48"/>
        <v>137628</v>
      </c>
      <c r="O177" s="104">
        <f t="shared" si="48"/>
        <v>16696</v>
      </c>
      <c r="P177" s="104">
        <f t="shared" si="48"/>
        <v>16696</v>
      </c>
      <c r="Q177" s="104">
        <f t="shared" si="48"/>
        <v>60422.8</v>
      </c>
      <c r="R177" s="104">
        <f t="shared" si="48"/>
        <v>60422.8</v>
      </c>
      <c r="S177" s="104">
        <f t="shared" si="48"/>
        <v>134947</v>
      </c>
      <c r="T177" s="104">
        <f t="shared" si="48"/>
        <v>134947</v>
      </c>
      <c r="U177" s="104">
        <f t="shared" si="48"/>
        <v>549038</v>
      </c>
      <c r="V177" s="104">
        <f t="shared" si="48"/>
        <v>539038</v>
      </c>
      <c r="W177" s="104">
        <f t="shared" si="48"/>
        <v>0</v>
      </c>
      <c r="X177" s="104">
        <f t="shared" si="48"/>
        <v>0</v>
      </c>
      <c r="Y177" s="104">
        <f t="shared" si="48"/>
        <v>0</v>
      </c>
      <c r="Z177" s="104">
        <f t="shared" si="48"/>
        <v>0</v>
      </c>
      <c r="AA177" s="306"/>
      <c r="AB177" s="110"/>
      <c r="AC177" s="335"/>
      <c r="AD177" s="355"/>
      <c r="AE177" s="335"/>
      <c r="AF177" s="356"/>
    </row>
    <row r="178" spans="1:32" s="289" customFormat="1" ht="19.5">
      <c r="A178" s="307" t="s">
        <v>46</v>
      </c>
      <c r="B178" s="308" t="s">
        <v>18</v>
      </c>
      <c r="C178" s="309"/>
      <c r="D178" s="309"/>
      <c r="E178" s="309"/>
      <c r="F178" s="309"/>
      <c r="G178" s="105">
        <f>+G179+G180+G181</f>
        <v>613499</v>
      </c>
      <c r="H178" s="105">
        <f t="shared" ref="H178:Z178" si="49">+H179+H180+H181</f>
        <v>553499</v>
      </c>
      <c r="I178" s="105">
        <f t="shared" si="49"/>
        <v>511930</v>
      </c>
      <c r="J178" s="105">
        <f t="shared" si="49"/>
        <v>501930</v>
      </c>
      <c r="K178" s="105">
        <f t="shared" si="49"/>
        <v>0</v>
      </c>
      <c r="L178" s="105">
        <f t="shared" si="49"/>
        <v>0</v>
      </c>
      <c r="M178" s="105">
        <f t="shared" si="49"/>
        <v>120031</v>
      </c>
      <c r="N178" s="105">
        <f t="shared" si="49"/>
        <v>120031</v>
      </c>
      <c r="O178" s="105">
        <f t="shared" si="49"/>
        <v>11562</v>
      </c>
      <c r="P178" s="105">
        <f t="shared" si="49"/>
        <v>11562</v>
      </c>
      <c r="Q178" s="105">
        <f t="shared" si="49"/>
        <v>46657.8</v>
      </c>
      <c r="R178" s="105">
        <f t="shared" si="49"/>
        <v>46657.8</v>
      </c>
      <c r="S178" s="105">
        <f t="shared" si="49"/>
        <v>119577</v>
      </c>
      <c r="T178" s="105">
        <f t="shared" si="49"/>
        <v>119577</v>
      </c>
      <c r="U178" s="105">
        <f t="shared" si="49"/>
        <v>505276</v>
      </c>
      <c r="V178" s="105">
        <f t="shared" si="49"/>
        <v>495276</v>
      </c>
      <c r="W178" s="105">
        <f t="shared" si="49"/>
        <v>0</v>
      </c>
      <c r="X178" s="105">
        <f t="shared" si="49"/>
        <v>0</v>
      </c>
      <c r="Y178" s="105">
        <f t="shared" si="49"/>
        <v>0</v>
      </c>
      <c r="Z178" s="105">
        <f t="shared" si="49"/>
        <v>0</v>
      </c>
      <c r="AA178" s="310"/>
      <c r="AB178" s="110"/>
      <c r="AC178" s="335"/>
      <c r="AD178" s="355"/>
      <c r="AE178" s="335"/>
      <c r="AF178" s="356"/>
    </row>
    <row r="179" spans="1:32" s="289" customFormat="1" ht="54.75" customHeight="1">
      <c r="A179" s="311" t="s">
        <v>13</v>
      </c>
      <c r="B179" s="312" t="s">
        <v>482</v>
      </c>
      <c r="C179" s="313" t="s">
        <v>250</v>
      </c>
      <c r="D179" s="313" t="s">
        <v>483</v>
      </c>
      <c r="E179" s="313" t="s">
        <v>484</v>
      </c>
      <c r="F179" s="313" t="s">
        <v>485</v>
      </c>
      <c r="G179" s="106">
        <v>203474</v>
      </c>
      <c r="H179" s="106">
        <v>143474</v>
      </c>
      <c r="I179" s="106">
        <v>110341</v>
      </c>
      <c r="J179" s="106">
        <v>100341</v>
      </c>
      <c r="K179" s="106"/>
      <c r="L179" s="106"/>
      <c r="M179" s="106">
        <v>16000</v>
      </c>
      <c r="N179" s="106">
        <v>16000</v>
      </c>
      <c r="O179" s="106">
        <v>0</v>
      </c>
      <c r="P179" s="106">
        <v>0</v>
      </c>
      <c r="Q179" s="106">
        <v>4725</v>
      </c>
      <c r="R179" s="106">
        <v>4725</v>
      </c>
      <c r="S179" s="106">
        <v>15546</v>
      </c>
      <c r="T179" s="106">
        <v>15546</v>
      </c>
      <c r="U179" s="106">
        <v>106889</v>
      </c>
      <c r="V179" s="106">
        <v>96889</v>
      </c>
      <c r="W179" s="106"/>
      <c r="X179" s="106"/>
      <c r="Y179" s="106"/>
      <c r="Z179" s="106"/>
      <c r="AA179" s="297" t="s">
        <v>486</v>
      </c>
      <c r="AB179" s="314" t="s">
        <v>593</v>
      </c>
      <c r="AC179" s="335"/>
      <c r="AD179" s="355"/>
      <c r="AE179" s="335"/>
      <c r="AF179" s="356"/>
    </row>
    <row r="180" spans="1:32" s="289" customFormat="1" ht="54.75" customHeight="1">
      <c r="A180" s="311" t="s">
        <v>0</v>
      </c>
      <c r="B180" s="325" t="s">
        <v>487</v>
      </c>
      <c r="C180" s="313" t="s">
        <v>250</v>
      </c>
      <c r="D180" s="313" t="s">
        <v>488</v>
      </c>
      <c r="E180" s="313" t="s">
        <v>316</v>
      </c>
      <c r="F180" s="313" t="s">
        <v>489</v>
      </c>
      <c r="G180" s="106">
        <v>362889</v>
      </c>
      <c r="H180" s="106">
        <v>362889</v>
      </c>
      <c r="I180" s="106">
        <f>J180</f>
        <v>354453</v>
      </c>
      <c r="J180" s="106">
        <v>354453</v>
      </c>
      <c r="K180" s="106"/>
      <c r="L180" s="106"/>
      <c r="M180" s="106">
        <f>N180</f>
        <v>98167</v>
      </c>
      <c r="N180" s="106">
        <v>98167</v>
      </c>
      <c r="O180" s="106">
        <f>P180</f>
        <v>7576</v>
      </c>
      <c r="P180" s="106">
        <v>7576</v>
      </c>
      <c r="Q180" s="106">
        <v>37828</v>
      </c>
      <c r="R180" s="106">
        <v>37828</v>
      </c>
      <c r="S180" s="106">
        <v>98167</v>
      </c>
      <c r="T180" s="106">
        <f>S180</f>
        <v>98167</v>
      </c>
      <c r="U180" s="106">
        <f>V180</f>
        <v>357863</v>
      </c>
      <c r="V180" s="106">
        <v>357863</v>
      </c>
      <c r="W180" s="106"/>
      <c r="X180" s="106"/>
      <c r="Y180" s="106"/>
      <c r="Z180" s="106"/>
      <c r="AA180" s="313" t="s">
        <v>429</v>
      </c>
      <c r="AB180" s="314" t="s">
        <v>593</v>
      </c>
      <c r="AC180" s="335"/>
      <c r="AD180" s="355"/>
      <c r="AE180" s="335"/>
      <c r="AF180" s="356"/>
    </row>
    <row r="181" spans="1:32" s="289" customFormat="1" ht="54.75" customHeight="1">
      <c r="A181" s="311" t="s">
        <v>5</v>
      </c>
      <c r="B181" s="325" t="s">
        <v>985</v>
      </c>
      <c r="C181" s="313" t="s">
        <v>445</v>
      </c>
      <c r="D181" s="313" t="s">
        <v>986</v>
      </c>
      <c r="E181" s="313" t="s">
        <v>316</v>
      </c>
      <c r="F181" s="313" t="s">
        <v>987</v>
      </c>
      <c r="G181" s="106">
        <v>47136</v>
      </c>
      <c r="H181" s="106">
        <v>47136</v>
      </c>
      <c r="I181" s="106">
        <v>47136</v>
      </c>
      <c r="J181" s="106">
        <v>47136</v>
      </c>
      <c r="K181" s="106"/>
      <c r="L181" s="106"/>
      <c r="M181" s="106">
        <v>5864</v>
      </c>
      <c r="N181" s="106">
        <v>5864</v>
      </c>
      <c r="O181" s="106">
        <v>3986</v>
      </c>
      <c r="P181" s="106">
        <v>3986</v>
      </c>
      <c r="Q181" s="106">
        <v>4104.8</v>
      </c>
      <c r="R181" s="106">
        <v>4104.8</v>
      </c>
      <c r="S181" s="106">
        <v>5864</v>
      </c>
      <c r="T181" s="106">
        <v>5864</v>
      </c>
      <c r="U181" s="106">
        <v>40524</v>
      </c>
      <c r="V181" s="106">
        <v>40524</v>
      </c>
      <c r="W181" s="106">
        <v>0</v>
      </c>
      <c r="X181" s="106"/>
      <c r="Y181" s="106"/>
      <c r="Z181" s="106"/>
      <c r="AA181" s="313"/>
      <c r="AB181" s="314" t="s">
        <v>955</v>
      </c>
      <c r="AC181" s="335"/>
      <c r="AD181" s="355"/>
      <c r="AE181" s="335"/>
      <c r="AF181" s="356"/>
    </row>
    <row r="182" spans="1:32" s="289" customFormat="1" ht="19.5">
      <c r="A182" s="307" t="s">
        <v>19</v>
      </c>
      <c r="B182" s="308" t="s">
        <v>20</v>
      </c>
      <c r="C182" s="309"/>
      <c r="D182" s="309"/>
      <c r="E182" s="309"/>
      <c r="F182" s="309"/>
      <c r="G182" s="105">
        <f>SUM(G183:G185)</f>
        <v>45497</v>
      </c>
      <c r="H182" s="105">
        <f t="shared" ref="H182:Z182" si="50">SUM(H183:H185)</f>
        <v>45497</v>
      </c>
      <c r="I182" s="105">
        <f t="shared" si="50"/>
        <v>45216</v>
      </c>
      <c r="J182" s="105">
        <f t="shared" si="50"/>
        <v>45216</v>
      </c>
      <c r="K182" s="105">
        <f t="shared" si="50"/>
        <v>0</v>
      </c>
      <c r="L182" s="105">
        <f t="shared" si="50"/>
        <v>0</v>
      </c>
      <c r="M182" s="105">
        <f t="shared" si="50"/>
        <v>17597</v>
      </c>
      <c r="N182" s="105">
        <f t="shared" si="50"/>
        <v>17597</v>
      </c>
      <c r="O182" s="105">
        <f t="shared" si="50"/>
        <v>5134</v>
      </c>
      <c r="P182" s="105">
        <f t="shared" si="50"/>
        <v>5134</v>
      </c>
      <c r="Q182" s="105">
        <f t="shared" si="50"/>
        <v>13765</v>
      </c>
      <c r="R182" s="105">
        <f t="shared" si="50"/>
        <v>13765</v>
      </c>
      <c r="S182" s="105">
        <f t="shared" si="50"/>
        <v>15370</v>
      </c>
      <c r="T182" s="105">
        <f t="shared" si="50"/>
        <v>15370</v>
      </c>
      <c r="U182" s="105">
        <f t="shared" si="50"/>
        <v>43762</v>
      </c>
      <c r="V182" s="105">
        <f t="shared" si="50"/>
        <v>43762</v>
      </c>
      <c r="W182" s="105">
        <f t="shared" si="50"/>
        <v>0</v>
      </c>
      <c r="X182" s="105">
        <f t="shared" si="50"/>
        <v>0</v>
      </c>
      <c r="Y182" s="105">
        <f t="shared" si="50"/>
        <v>0</v>
      </c>
      <c r="Z182" s="105">
        <f t="shared" si="50"/>
        <v>0</v>
      </c>
      <c r="AA182" s="310"/>
      <c r="AB182" s="110"/>
      <c r="AC182" s="335"/>
      <c r="AD182" s="355"/>
      <c r="AE182" s="335"/>
      <c r="AF182" s="356"/>
    </row>
    <row r="183" spans="1:32" s="289" customFormat="1" ht="69" customHeight="1">
      <c r="A183" s="311" t="s">
        <v>13</v>
      </c>
      <c r="B183" s="312" t="s">
        <v>490</v>
      </c>
      <c r="C183" s="313" t="s">
        <v>304</v>
      </c>
      <c r="D183" s="313" t="s">
        <v>491</v>
      </c>
      <c r="E183" s="313" t="s">
        <v>230</v>
      </c>
      <c r="F183" s="313" t="s">
        <v>492</v>
      </c>
      <c r="G183" s="106">
        <v>40909</v>
      </c>
      <c r="H183" s="106">
        <v>40909</v>
      </c>
      <c r="I183" s="106">
        <f>SUM(J183:L183)</f>
        <v>40909</v>
      </c>
      <c r="J183" s="106">
        <v>40909</v>
      </c>
      <c r="K183" s="106"/>
      <c r="L183" s="106"/>
      <c r="M183" s="106">
        <f>+N183</f>
        <v>14654</v>
      </c>
      <c r="N183" s="106">
        <v>14654</v>
      </c>
      <c r="O183" s="106">
        <f>+P183</f>
        <v>4002</v>
      </c>
      <c r="P183" s="106">
        <v>4002</v>
      </c>
      <c r="Q183" s="106">
        <f>+R183</f>
        <v>12302</v>
      </c>
      <c r="R183" s="106">
        <f>8300+P183</f>
        <v>12302</v>
      </c>
      <c r="S183" s="106">
        <f>+T183</f>
        <v>12427</v>
      </c>
      <c r="T183" s="106">
        <f>125+R183</f>
        <v>12427</v>
      </c>
      <c r="U183" s="106">
        <f>+V183</f>
        <v>40909</v>
      </c>
      <c r="V183" s="106">
        <f>26255+M183</f>
        <v>40909</v>
      </c>
      <c r="W183" s="106"/>
      <c r="X183" s="106"/>
      <c r="Y183" s="106"/>
      <c r="Z183" s="106"/>
      <c r="AA183" s="313" t="s">
        <v>493</v>
      </c>
      <c r="AB183" s="314" t="s">
        <v>593</v>
      </c>
      <c r="AC183" s="335"/>
      <c r="AD183" s="355"/>
      <c r="AE183" s="335"/>
      <c r="AF183" s="356"/>
    </row>
    <row r="184" spans="1:32" s="289" customFormat="1" ht="69" customHeight="1">
      <c r="A184" s="311" t="s">
        <v>0</v>
      </c>
      <c r="B184" s="312" t="s">
        <v>1019</v>
      </c>
      <c r="C184" s="313" t="s">
        <v>445</v>
      </c>
      <c r="D184" s="313" t="s">
        <v>988</v>
      </c>
      <c r="E184" s="313" t="s">
        <v>252</v>
      </c>
      <c r="F184" s="313" t="s">
        <v>989</v>
      </c>
      <c r="G184" s="106">
        <v>1735</v>
      </c>
      <c r="H184" s="106">
        <v>1735</v>
      </c>
      <c r="I184" s="106">
        <v>1454</v>
      </c>
      <c r="J184" s="106">
        <v>1454</v>
      </c>
      <c r="K184" s="106"/>
      <c r="L184" s="106"/>
      <c r="M184" s="106">
        <v>90</v>
      </c>
      <c r="N184" s="106">
        <v>90</v>
      </c>
      <c r="O184" s="106">
        <v>43</v>
      </c>
      <c r="P184" s="106">
        <v>43</v>
      </c>
      <c r="Q184" s="106">
        <v>63</v>
      </c>
      <c r="R184" s="106">
        <v>63</v>
      </c>
      <c r="S184" s="106">
        <v>90</v>
      </c>
      <c r="T184" s="106">
        <v>90</v>
      </c>
      <c r="U184" s="106">
        <v>0</v>
      </c>
      <c r="V184" s="106"/>
      <c r="W184" s="106">
        <v>0</v>
      </c>
      <c r="X184" s="106"/>
      <c r="Y184" s="106"/>
      <c r="Z184" s="106"/>
      <c r="AA184" s="313"/>
      <c r="AB184" s="314" t="s">
        <v>955</v>
      </c>
      <c r="AC184" s="335"/>
      <c r="AD184" s="355"/>
      <c r="AE184" s="335"/>
      <c r="AF184" s="356"/>
    </row>
    <row r="185" spans="1:32" s="289" customFormat="1" ht="69" customHeight="1">
      <c r="A185" s="311" t="s">
        <v>5</v>
      </c>
      <c r="B185" s="312" t="s">
        <v>1020</v>
      </c>
      <c r="C185" s="313" t="s">
        <v>1004</v>
      </c>
      <c r="D185" s="313" t="s">
        <v>1021</v>
      </c>
      <c r="E185" s="313" t="s">
        <v>230</v>
      </c>
      <c r="F185" s="313" t="s">
        <v>1022</v>
      </c>
      <c r="G185" s="106">
        <v>2853</v>
      </c>
      <c r="H185" s="106">
        <v>2853</v>
      </c>
      <c r="I185" s="106">
        <v>2853</v>
      </c>
      <c r="J185" s="106">
        <v>2853</v>
      </c>
      <c r="K185" s="106"/>
      <c r="L185" s="106"/>
      <c r="M185" s="106">
        <v>2853</v>
      </c>
      <c r="N185" s="106">
        <v>2853</v>
      </c>
      <c r="O185" s="106">
        <v>1089</v>
      </c>
      <c r="P185" s="106">
        <v>1089</v>
      </c>
      <c r="Q185" s="106">
        <v>1400</v>
      </c>
      <c r="R185" s="106">
        <v>1400</v>
      </c>
      <c r="S185" s="106">
        <v>2853</v>
      </c>
      <c r="T185" s="106">
        <v>2853</v>
      </c>
      <c r="U185" s="106">
        <v>2853</v>
      </c>
      <c r="V185" s="106">
        <v>2853</v>
      </c>
      <c r="W185" s="106">
        <v>0</v>
      </c>
      <c r="X185" s="106">
        <v>0</v>
      </c>
      <c r="Y185" s="106"/>
      <c r="Z185" s="106"/>
      <c r="AA185" s="313"/>
      <c r="AB185" s="314" t="s">
        <v>1002</v>
      </c>
      <c r="AC185" s="335"/>
      <c r="AD185" s="355"/>
      <c r="AE185" s="335"/>
      <c r="AF185" s="356"/>
    </row>
    <row r="186" spans="1:32" s="289" customFormat="1" ht="37.5">
      <c r="A186" s="303" t="s">
        <v>41</v>
      </c>
      <c r="B186" s="304" t="s">
        <v>109</v>
      </c>
      <c r="C186" s="313"/>
      <c r="D186" s="313"/>
      <c r="E186" s="313"/>
      <c r="F186" s="313"/>
      <c r="G186" s="104">
        <f>+G187+G190</f>
        <v>892745</v>
      </c>
      <c r="H186" s="104">
        <f t="shared" ref="H186:Z186" si="51">+H187+H190</f>
        <v>442636</v>
      </c>
      <c r="I186" s="104">
        <f t="shared" si="51"/>
        <v>519839</v>
      </c>
      <c r="J186" s="104">
        <f t="shared" si="51"/>
        <v>345071</v>
      </c>
      <c r="K186" s="104">
        <f t="shared" si="51"/>
        <v>0</v>
      </c>
      <c r="L186" s="104">
        <f t="shared" si="51"/>
        <v>0</v>
      </c>
      <c r="M186" s="104">
        <f t="shared" si="51"/>
        <v>391068</v>
      </c>
      <c r="N186" s="104">
        <f t="shared" si="51"/>
        <v>143223</v>
      </c>
      <c r="O186" s="104">
        <f t="shared" si="51"/>
        <v>314</v>
      </c>
      <c r="P186" s="104">
        <f t="shared" si="51"/>
        <v>314</v>
      </c>
      <c r="Q186" s="104">
        <f t="shared" si="51"/>
        <v>126968</v>
      </c>
      <c r="R186" s="104">
        <f t="shared" si="51"/>
        <v>30963</v>
      </c>
      <c r="S186" s="104">
        <f t="shared" si="51"/>
        <v>193156</v>
      </c>
      <c r="T186" s="104">
        <f t="shared" si="51"/>
        <v>79870</v>
      </c>
      <c r="U186" s="104">
        <f t="shared" si="51"/>
        <v>411075</v>
      </c>
      <c r="V186" s="104">
        <f t="shared" si="51"/>
        <v>163230</v>
      </c>
      <c r="W186" s="104">
        <f t="shared" si="51"/>
        <v>476031</v>
      </c>
      <c r="X186" s="104">
        <f t="shared" si="51"/>
        <v>152397</v>
      </c>
      <c r="Y186" s="104">
        <f t="shared" si="51"/>
        <v>0</v>
      </c>
      <c r="Z186" s="104">
        <f t="shared" si="51"/>
        <v>0</v>
      </c>
      <c r="AA186" s="315"/>
      <c r="AB186" s="110"/>
      <c r="AC186" s="335"/>
      <c r="AD186" s="355"/>
      <c r="AE186" s="335"/>
      <c r="AF186" s="356"/>
    </row>
    <row r="187" spans="1:32" s="289" customFormat="1" ht="19.5">
      <c r="A187" s="307" t="s">
        <v>46</v>
      </c>
      <c r="B187" s="308" t="s">
        <v>18</v>
      </c>
      <c r="C187" s="309"/>
      <c r="D187" s="309"/>
      <c r="E187" s="309"/>
      <c r="F187" s="309"/>
      <c r="G187" s="105">
        <f>+G188+G189</f>
        <v>846679</v>
      </c>
      <c r="H187" s="105">
        <f t="shared" ref="H187:Z187" si="52">+H188+H189</f>
        <v>409759</v>
      </c>
      <c r="I187" s="105">
        <f t="shared" si="52"/>
        <v>486576</v>
      </c>
      <c r="J187" s="105">
        <f t="shared" si="52"/>
        <v>311808</v>
      </c>
      <c r="K187" s="105">
        <f t="shared" si="52"/>
        <v>0</v>
      </c>
      <c r="L187" s="105">
        <f t="shared" si="52"/>
        <v>0</v>
      </c>
      <c r="M187" s="105">
        <f t="shared" si="52"/>
        <v>391068</v>
      </c>
      <c r="N187" s="105">
        <f t="shared" si="52"/>
        <v>143223</v>
      </c>
      <c r="O187" s="105">
        <f t="shared" si="52"/>
        <v>314</v>
      </c>
      <c r="P187" s="105">
        <f t="shared" si="52"/>
        <v>314</v>
      </c>
      <c r="Q187" s="105">
        <f t="shared" si="52"/>
        <v>126968</v>
      </c>
      <c r="R187" s="105">
        <f t="shared" si="52"/>
        <v>30963</v>
      </c>
      <c r="S187" s="105">
        <f t="shared" si="52"/>
        <v>188412</v>
      </c>
      <c r="T187" s="105">
        <f t="shared" si="52"/>
        <v>75126</v>
      </c>
      <c r="U187" s="105">
        <f t="shared" si="52"/>
        <v>398665</v>
      </c>
      <c r="V187" s="105">
        <f t="shared" si="52"/>
        <v>150820</v>
      </c>
      <c r="W187" s="105">
        <f t="shared" si="52"/>
        <v>457957</v>
      </c>
      <c r="X187" s="105">
        <f t="shared" si="52"/>
        <v>134323</v>
      </c>
      <c r="Y187" s="105">
        <f t="shared" si="52"/>
        <v>0</v>
      </c>
      <c r="Z187" s="105">
        <f t="shared" si="52"/>
        <v>0</v>
      </c>
      <c r="AA187" s="310"/>
      <c r="AB187" s="110"/>
      <c r="AC187" s="335"/>
      <c r="AD187" s="355"/>
      <c r="AE187" s="335"/>
      <c r="AF187" s="356"/>
    </row>
    <row r="188" spans="1:32" s="289" customFormat="1" ht="54.75" customHeight="1">
      <c r="A188" s="311" t="s">
        <v>13</v>
      </c>
      <c r="B188" s="312" t="s">
        <v>494</v>
      </c>
      <c r="C188" s="313" t="s">
        <v>250</v>
      </c>
      <c r="D188" s="313" t="s">
        <v>495</v>
      </c>
      <c r="E188" s="313" t="s">
        <v>496</v>
      </c>
      <c r="F188" s="313" t="s">
        <v>497</v>
      </c>
      <c r="G188" s="106">
        <v>479316</v>
      </c>
      <c r="H188" s="106">
        <v>42396</v>
      </c>
      <c r="I188" s="106">
        <v>214091</v>
      </c>
      <c r="J188" s="106">
        <v>39323</v>
      </c>
      <c r="K188" s="106"/>
      <c r="L188" s="106"/>
      <c r="M188" s="106">
        <v>281068</v>
      </c>
      <c r="N188" s="106">
        <v>33223</v>
      </c>
      <c r="O188" s="106"/>
      <c r="P188" s="106"/>
      <c r="Q188" s="106">
        <v>96005</v>
      </c>
      <c r="R188" s="106"/>
      <c r="S188" s="106">
        <v>118286</v>
      </c>
      <c r="T188" s="106">
        <v>5000</v>
      </c>
      <c r="U188" s="106">
        <v>283332</v>
      </c>
      <c r="V188" s="106">
        <v>35487</v>
      </c>
      <c r="W188" s="106">
        <v>357957</v>
      </c>
      <c r="X188" s="106">
        <v>34323</v>
      </c>
      <c r="Y188" s="106"/>
      <c r="Z188" s="106"/>
      <c r="AA188" s="334"/>
      <c r="AB188" s="314" t="s">
        <v>593</v>
      </c>
      <c r="AC188" s="335"/>
      <c r="AD188" s="355"/>
      <c r="AE188" s="335"/>
      <c r="AF188" s="356"/>
    </row>
    <row r="189" spans="1:32" s="289" customFormat="1" ht="54.75" customHeight="1">
      <c r="A189" s="311" t="s">
        <v>0</v>
      </c>
      <c r="B189" s="325" t="s">
        <v>498</v>
      </c>
      <c r="C189" s="313" t="s">
        <v>250</v>
      </c>
      <c r="D189" s="313" t="s">
        <v>499</v>
      </c>
      <c r="E189" s="313" t="s">
        <v>257</v>
      </c>
      <c r="F189" s="313" t="s">
        <v>500</v>
      </c>
      <c r="G189" s="106">
        <v>367363</v>
      </c>
      <c r="H189" s="106">
        <v>367363</v>
      </c>
      <c r="I189" s="106">
        <v>272485</v>
      </c>
      <c r="J189" s="106">
        <v>272485</v>
      </c>
      <c r="K189" s="106">
        <v>0</v>
      </c>
      <c r="L189" s="106">
        <v>0</v>
      </c>
      <c r="M189" s="106">
        <v>110000</v>
      </c>
      <c r="N189" s="106">
        <v>110000</v>
      </c>
      <c r="O189" s="106">
        <v>314</v>
      </c>
      <c r="P189" s="106">
        <v>314</v>
      </c>
      <c r="Q189" s="106">
        <v>30963</v>
      </c>
      <c r="R189" s="106">
        <v>30963</v>
      </c>
      <c r="S189" s="106">
        <v>70126</v>
      </c>
      <c r="T189" s="106">
        <v>70126</v>
      </c>
      <c r="U189" s="106">
        <v>115333</v>
      </c>
      <c r="V189" s="106">
        <v>115333</v>
      </c>
      <c r="W189" s="106">
        <v>100000</v>
      </c>
      <c r="X189" s="106">
        <v>100000</v>
      </c>
      <c r="Y189" s="106"/>
      <c r="Z189" s="106"/>
      <c r="AA189" s="313" t="s">
        <v>501</v>
      </c>
      <c r="AB189" s="314" t="s">
        <v>593</v>
      </c>
      <c r="AC189" s="335"/>
      <c r="AD189" s="355"/>
      <c r="AE189" s="335"/>
      <c r="AF189" s="356"/>
    </row>
    <row r="190" spans="1:32" s="289" customFormat="1" ht="19.5">
      <c r="A190" s="367" t="s">
        <v>19</v>
      </c>
      <c r="B190" s="368" t="s">
        <v>20</v>
      </c>
      <c r="C190" s="313"/>
      <c r="D190" s="313"/>
      <c r="E190" s="313"/>
      <c r="F190" s="313"/>
      <c r="G190" s="105">
        <f>SUM(G191:G196)</f>
        <v>46066</v>
      </c>
      <c r="H190" s="105">
        <f t="shared" ref="H190:Z190" si="53">SUM(H191:H196)</f>
        <v>32877</v>
      </c>
      <c r="I190" s="105">
        <f t="shared" si="53"/>
        <v>33263</v>
      </c>
      <c r="J190" s="105">
        <f t="shared" si="53"/>
        <v>33263</v>
      </c>
      <c r="K190" s="105">
        <f t="shared" si="53"/>
        <v>0</v>
      </c>
      <c r="L190" s="105">
        <f t="shared" si="53"/>
        <v>0</v>
      </c>
      <c r="M190" s="105">
        <f t="shared" si="53"/>
        <v>0</v>
      </c>
      <c r="N190" s="105">
        <f t="shared" si="53"/>
        <v>0</v>
      </c>
      <c r="O190" s="105">
        <f t="shared" si="53"/>
        <v>0</v>
      </c>
      <c r="P190" s="105">
        <f t="shared" si="53"/>
        <v>0</v>
      </c>
      <c r="Q190" s="105">
        <f t="shared" si="53"/>
        <v>0</v>
      </c>
      <c r="R190" s="105">
        <f t="shared" si="53"/>
        <v>0</v>
      </c>
      <c r="S190" s="105">
        <f t="shared" si="53"/>
        <v>4744</v>
      </c>
      <c r="T190" s="105">
        <f t="shared" si="53"/>
        <v>4744</v>
      </c>
      <c r="U190" s="105">
        <f t="shared" si="53"/>
        <v>12410</v>
      </c>
      <c r="V190" s="105">
        <f t="shared" si="53"/>
        <v>12410</v>
      </c>
      <c r="W190" s="105">
        <f t="shared" si="53"/>
        <v>18074</v>
      </c>
      <c r="X190" s="105">
        <f t="shared" si="53"/>
        <v>18074</v>
      </c>
      <c r="Y190" s="105">
        <f t="shared" si="53"/>
        <v>0</v>
      </c>
      <c r="Z190" s="105">
        <f t="shared" si="53"/>
        <v>0</v>
      </c>
      <c r="AA190" s="313"/>
      <c r="AB190" s="314"/>
      <c r="AC190" s="335"/>
      <c r="AD190" s="355"/>
      <c r="AE190" s="335"/>
      <c r="AF190" s="356"/>
    </row>
    <row r="191" spans="1:32" s="289" customFormat="1" ht="54.75" customHeight="1">
      <c r="A191" s="311" t="s">
        <v>13</v>
      </c>
      <c r="B191" s="369" t="s">
        <v>794</v>
      </c>
      <c r="C191" s="353" t="s">
        <v>210</v>
      </c>
      <c r="D191" s="353"/>
      <c r="E191" s="353" t="s">
        <v>230</v>
      </c>
      <c r="F191" s="353" t="s">
        <v>795</v>
      </c>
      <c r="G191" s="99">
        <v>6860</v>
      </c>
      <c r="H191" s="99">
        <v>6860</v>
      </c>
      <c r="I191" s="91">
        <v>6860</v>
      </c>
      <c r="J191" s="91">
        <v>6860</v>
      </c>
      <c r="K191" s="91">
        <v>0</v>
      </c>
      <c r="L191" s="91">
        <v>0</v>
      </c>
      <c r="M191" s="91">
        <v>0</v>
      </c>
      <c r="N191" s="91">
        <v>0</v>
      </c>
      <c r="O191" s="91">
        <v>0</v>
      </c>
      <c r="P191" s="91">
        <v>0</v>
      </c>
      <c r="Q191" s="91">
        <v>0</v>
      </c>
      <c r="R191" s="91">
        <v>0</v>
      </c>
      <c r="S191" s="91">
        <v>0</v>
      </c>
      <c r="T191" s="91">
        <v>0</v>
      </c>
      <c r="U191" s="91">
        <v>0</v>
      </c>
      <c r="V191" s="91">
        <v>0</v>
      </c>
      <c r="W191" s="106">
        <v>6860</v>
      </c>
      <c r="X191" s="106">
        <v>6860</v>
      </c>
      <c r="Y191" s="106">
        <v>0</v>
      </c>
      <c r="Z191" s="106">
        <v>0</v>
      </c>
      <c r="AA191" s="313"/>
      <c r="AB191" s="314" t="s">
        <v>761</v>
      </c>
      <c r="AC191" s="335"/>
      <c r="AD191" s="355"/>
      <c r="AE191" s="335"/>
      <c r="AF191" s="356"/>
    </row>
    <row r="192" spans="1:32" s="289" customFormat="1" ht="54.75" customHeight="1">
      <c r="A192" s="311" t="s">
        <v>0</v>
      </c>
      <c r="B192" s="322" t="s">
        <v>796</v>
      </c>
      <c r="C192" s="314" t="s">
        <v>210</v>
      </c>
      <c r="D192" s="314"/>
      <c r="E192" s="314" t="s">
        <v>312</v>
      </c>
      <c r="F192" s="314" t="s">
        <v>797</v>
      </c>
      <c r="G192" s="99">
        <v>6499</v>
      </c>
      <c r="H192" s="99">
        <v>6499</v>
      </c>
      <c r="I192" s="91">
        <v>6499</v>
      </c>
      <c r="J192" s="91">
        <v>6499</v>
      </c>
      <c r="K192" s="91">
        <v>0</v>
      </c>
      <c r="L192" s="91">
        <v>0</v>
      </c>
      <c r="M192" s="91">
        <v>0</v>
      </c>
      <c r="N192" s="91">
        <v>0</v>
      </c>
      <c r="O192" s="91">
        <v>0</v>
      </c>
      <c r="P192" s="91">
        <v>0</v>
      </c>
      <c r="Q192" s="91">
        <v>0</v>
      </c>
      <c r="R192" s="91">
        <v>0</v>
      </c>
      <c r="S192" s="91">
        <v>0</v>
      </c>
      <c r="T192" s="91">
        <v>0</v>
      </c>
      <c r="U192" s="91">
        <v>0</v>
      </c>
      <c r="V192" s="91">
        <v>0</v>
      </c>
      <c r="W192" s="106">
        <v>6499</v>
      </c>
      <c r="X192" s="106">
        <v>6499</v>
      </c>
      <c r="Y192" s="106">
        <v>0</v>
      </c>
      <c r="Z192" s="106">
        <v>0</v>
      </c>
      <c r="AA192" s="313"/>
      <c r="AB192" s="314" t="s">
        <v>761</v>
      </c>
      <c r="AC192" s="335"/>
      <c r="AD192" s="355"/>
      <c r="AE192" s="335"/>
      <c r="AF192" s="356"/>
    </row>
    <row r="193" spans="1:32" s="289" customFormat="1" ht="54.75" customHeight="1">
      <c r="A193" s="311" t="s">
        <v>5</v>
      </c>
      <c r="B193" s="322" t="s">
        <v>1043</v>
      </c>
      <c r="C193" s="314" t="s">
        <v>1012</v>
      </c>
      <c r="D193" s="314" t="s">
        <v>1044</v>
      </c>
      <c r="E193" s="314" t="s">
        <v>312</v>
      </c>
      <c r="F193" s="314" t="s">
        <v>1045</v>
      </c>
      <c r="G193" s="99">
        <v>6687</v>
      </c>
      <c r="H193" s="99">
        <v>6687</v>
      </c>
      <c r="I193" s="91">
        <v>6715</v>
      </c>
      <c r="J193" s="91">
        <v>6715</v>
      </c>
      <c r="K193" s="91"/>
      <c r="L193" s="91"/>
      <c r="M193" s="91">
        <v>0</v>
      </c>
      <c r="N193" s="91"/>
      <c r="O193" s="91">
        <v>0</v>
      </c>
      <c r="P193" s="91"/>
      <c r="Q193" s="91">
        <v>0</v>
      </c>
      <c r="R193" s="91"/>
      <c r="S193" s="91">
        <v>2000</v>
      </c>
      <c r="T193" s="91">
        <v>2000</v>
      </c>
      <c r="U193" s="91">
        <v>0</v>
      </c>
      <c r="V193" s="91"/>
      <c r="W193" s="106">
        <v>4715</v>
      </c>
      <c r="X193" s="106">
        <v>4715</v>
      </c>
      <c r="Y193" s="106"/>
      <c r="Z193" s="106"/>
      <c r="AA193" s="313"/>
      <c r="AB193" s="314" t="s">
        <v>1002</v>
      </c>
      <c r="AC193" s="335"/>
      <c r="AD193" s="355"/>
      <c r="AE193" s="335"/>
      <c r="AF193" s="356"/>
    </row>
    <row r="194" spans="1:32" s="289" customFormat="1" ht="54.75" customHeight="1">
      <c r="A194" s="311" t="s">
        <v>6</v>
      </c>
      <c r="B194" s="322" t="s">
        <v>1277</v>
      </c>
      <c r="C194" s="314" t="s">
        <v>396</v>
      </c>
      <c r="D194" s="314" t="s">
        <v>1268</v>
      </c>
      <c r="E194" s="314" t="s">
        <v>230</v>
      </c>
      <c r="F194" s="314" t="s">
        <v>1269</v>
      </c>
      <c r="G194" s="99">
        <v>4354</v>
      </c>
      <c r="H194" s="99">
        <v>1998</v>
      </c>
      <c r="I194" s="91">
        <v>2356</v>
      </c>
      <c r="J194" s="91">
        <v>2356</v>
      </c>
      <c r="K194" s="91"/>
      <c r="L194" s="91"/>
      <c r="M194" s="91"/>
      <c r="N194" s="91"/>
      <c r="O194" s="91"/>
      <c r="P194" s="91"/>
      <c r="Q194" s="91"/>
      <c r="R194" s="91"/>
      <c r="S194" s="91">
        <v>959</v>
      </c>
      <c r="T194" s="91">
        <v>959</v>
      </c>
      <c r="U194" s="91">
        <v>2000</v>
      </c>
      <c r="V194" s="91">
        <v>2000</v>
      </c>
      <c r="W194" s="106">
        <v>0</v>
      </c>
      <c r="X194" s="106"/>
      <c r="Y194" s="106"/>
      <c r="Z194" s="106"/>
      <c r="AA194" s="313" t="s">
        <v>1270</v>
      </c>
      <c r="AB194" s="314" t="s">
        <v>1228</v>
      </c>
      <c r="AC194" s="335"/>
      <c r="AD194" s="355"/>
      <c r="AE194" s="335"/>
      <c r="AF194" s="356"/>
    </row>
    <row r="195" spans="1:32" s="289" customFormat="1" ht="54.75" customHeight="1">
      <c r="A195" s="311" t="s">
        <v>14</v>
      </c>
      <c r="B195" s="322" t="s">
        <v>1278</v>
      </c>
      <c r="C195" s="314" t="s">
        <v>396</v>
      </c>
      <c r="D195" s="314" t="s">
        <v>1271</v>
      </c>
      <c r="E195" s="314" t="s">
        <v>230</v>
      </c>
      <c r="F195" s="314" t="s">
        <v>1272</v>
      </c>
      <c r="G195" s="99">
        <v>12092</v>
      </c>
      <c r="H195" s="99">
        <v>6046</v>
      </c>
      <c r="I195" s="91">
        <v>6046</v>
      </c>
      <c r="J195" s="91">
        <v>6046</v>
      </c>
      <c r="K195" s="91"/>
      <c r="L195" s="91"/>
      <c r="M195" s="91"/>
      <c r="N195" s="91"/>
      <c r="O195" s="91"/>
      <c r="P195" s="91"/>
      <c r="Q195" s="91"/>
      <c r="R195" s="91"/>
      <c r="S195" s="91">
        <v>28</v>
      </c>
      <c r="T195" s="91">
        <v>28</v>
      </c>
      <c r="U195" s="91">
        <v>5650</v>
      </c>
      <c r="V195" s="91">
        <v>5650</v>
      </c>
      <c r="W195" s="106">
        <v>0</v>
      </c>
      <c r="X195" s="106"/>
      <c r="Y195" s="106"/>
      <c r="Z195" s="106"/>
      <c r="AA195" s="313" t="s">
        <v>1273</v>
      </c>
      <c r="AB195" s="314" t="s">
        <v>1228</v>
      </c>
      <c r="AC195" s="335"/>
      <c r="AD195" s="355"/>
      <c r="AE195" s="335"/>
      <c r="AF195" s="356"/>
    </row>
    <row r="196" spans="1:32" s="289" customFormat="1" ht="54.75" customHeight="1">
      <c r="A196" s="311" t="s">
        <v>48</v>
      </c>
      <c r="B196" s="322" t="s">
        <v>1279</v>
      </c>
      <c r="C196" s="314" t="s">
        <v>396</v>
      </c>
      <c r="D196" s="314" t="s">
        <v>1274</v>
      </c>
      <c r="E196" s="314" t="s">
        <v>230</v>
      </c>
      <c r="F196" s="314" t="s">
        <v>1275</v>
      </c>
      <c r="G196" s="99">
        <v>9574</v>
      </c>
      <c r="H196" s="99">
        <v>4787</v>
      </c>
      <c r="I196" s="91">
        <v>4787</v>
      </c>
      <c r="J196" s="91">
        <v>4787</v>
      </c>
      <c r="K196" s="91"/>
      <c r="L196" s="91"/>
      <c r="M196" s="91"/>
      <c r="N196" s="91"/>
      <c r="O196" s="91"/>
      <c r="P196" s="91"/>
      <c r="Q196" s="91"/>
      <c r="R196" s="91"/>
      <c r="S196" s="91">
        <v>1757</v>
      </c>
      <c r="T196" s="91">
        <v>1757</v>
      </c>
      <c r="U196" s="91">
        <v>4760</v>
      </c>
      <c r="V196" s="91">
        <v>4760</v>
      </c>
      <c r="W196" s="106">
        <v>0</v>
      </c>
      <c r="X196" s="106"/>
      <c r="Y196" s="106"/>
      <c r="Z196" s="106"/>
      <c r="AA196" s="313" t="s">
        <v>1276</v>
      </c>
      <c r="AB196" s="314" t="s">
        <v>1228</v>
      </c>
      <c r="AC196" s="335"/>
      <c r="AD196" s="355"/>
      <c r="AE196" s="335"/>
      <c r="AF196" s="356"/>
    </row>
    <row r="197" spans="1:32" s="289" customFormat="1" ht="37.5">
      <c r="A197" s="303" t="s">
        <v>23</v>
      </c>
      <c r="B197" s="304" t="s">
        <v>110</v>
      </c>
      <c r="C197" s="313"/>
      <c r="D197" s="313"/>
      <c r="E197" s="313"/>
      <c r="F197" s="313"/>
      <c r="G197" s="104">
        <f>+G198</f>
        <v>226848</v>
      </c>
      <c r="H197" s="104">
        <f t="shared" ref="H197:Z197" si="54">+H198</f>
        <v>226848</v>
      </c>
      <c r="I197" s="104">
        <f t="shared" si="54"/>
        <v>79210</v>
      </c>
      <c r="J197" s="104">
        <f t="shared" si="54"/>
        <v>79210</v>
      </c>
      <c r="K197" s="104">
        <f t="shared" si="54"/>
        <v>0</v>
      </c>
      <c r="L197" s="104">
        <f t="shared" si="54"/>
        <v>0</v>
      </c>
      <c r="M197" s="104">
        <f t="shared" si="54"/>
        <v>31296</v>
      </c>
      <c r="N197" s="104">
        <f t="shared" si="54"/>
        <v>31296</v>
      </c>
      <c r="O197" s="104">
        <f t="shared" si="54"/>
        <v>823.60900000000004</v>
      </c>
      <c r="P197" s="104">
        <f t="shared" si="54"/>
        <v>823.60900000000004</v>
      </c>
      <c r="Q197" s="104">
        <f t="shared" si="54"/>
        <v>1296</v>
      </c>
      <c r="R197" s="104">
        <f t="shared" si="54"/>
        <v>1296</v>
      </c>
      <c r="S197" s="104">
        <f t="shared" si="54"/>
        <v>3600</v>
      </c>
      <c r="T197" s="104">
        <f t="shared" si="54"/>
        <v>3600</v>
      </c>
      <c r="U197" s="104">
        <f t="shared" si="54"/>
        <v>32321.719000000001</v>
      </c>
      <c r="V197" s="104">
        <f t="shared" si="54"/>
        <v>32321.719000000001</v>
      </c>
      <c r="W197" s="104">
        <f t="shared" si="54"/>
        <v>29000</v>
      </c>
      <c r="X197" s="104">
        <f t="shared" si="54"/>
        <v>29000</v>
      </c>
      <c r="Y197" s="104">
        <f t="shared" si="54"/>
        <v>0</v>
      </c>
      <c r="Z197" s="104">
        <f t="shared" si="54"/>
        <v>0</v>
      </c>
      <c r="AA197" s="315"/>
      <c r="AB197" s="110"/>
      <c r="AC197" s="335"/>
      <c r="AD197" s="355"/>
      <c r="AE197" s="335"/>
      <c r="AF197" s="356"/>
    </row>
    <row r="198" spans="1:32" s="289" customFormat="1" ht="19.5">
      <c r="A198" s="307" t="s">
        <v>46</v>
      </c>
      <c r="B198" s="308" t="s">
        <v>18</v>
      </c>
      <c r="C198" s="309"/>
      <c r="D198" s="309"/>
      <c r="E198" s="309"/>
      <c r="F198" s="309"/>
      <c r="G198" s="105">
        <f>+G199+G200</f>
        <v>226848</v>
      </c>
      <c r="H198" s="105">
        <f t="shared" ref="H198:Z198" si="55">+H199+H200</f>
        <v>226848</v>
      </c>
      <c r="I198" s="105">
        <f t="shared" si="55"/>
        <v>79210</v>
      </c>
      <c r="J198" s="105">
        <f t="shared" si="55"/>
        <v>79210</v>
      </c>
      <c r="K198" s="105">
        <f t="shared" si="55"/>
        <v>0</v>
      </c>
      <c r="L198" s="105">
        <f t="shared" si="55"/>
        <v>0</v>
      </c>
      <c r="M198" s="105">
        <f t="shared" si="55"/>
        <v>31296</v>
      </c>
      <c r="N198" s="105">
        <f t="shared" si="55"/>
        <v>31296</v>
      </c>
      <c r="O198" s="105">
        <f t="shared" si="55"/>
        <v>823.60900000000004</v>
      </c>
      <c r="P198" s="105">
        <f t="shared" si="55"/>
        <v>823.60900000000004</v>
      </c>
      <c r="Q198" s="105">
        <f t="shared" si="55"/>
        <v>1296</v>
      </c>
      <c r="R198" s="105">
        <f t="shared" si="55"/>
        <v>1296</v>
      </c>
      <c r="S198" s="105">
        <f t="shared" si="55"/>
        <v>3600</v>
      </c>
      <c r="T198" s="105">
        <f t="shared" si="55"/>
        <v>3600</v>
      </c>
      <c r="U198" s="105">
        <f t="shared" si="55"/>
        <v>32321.719000000001</v>
      </c>
      <c r="V198" s="105">
        <f t="shared" si="55"/>
        <v>32321.719000000001</v>
      </c>
      <c r="W198" s="105">
        <f t="shared" si="55"/>
        <v>29000</v>
      </c>
      <c r="X198" s="105">
        <f t="shared" si="55"/>
        <v>29000</v>
      </c>
      <c r="Y198" s="105">
        <f t="shared" si="55"/>
        <v>0</v>
      </c>
      <c r="Z198" s="105">
        <f t="shared" si="55"/>
        <v>0</v>
      </c>
      <c r="AA198" s="310"/>
      <c r="AB198" s="110"/>
      <c r="AC198" s="335"/>
      <c r="AD198" s="355"/>
      <c r="AE198" s="335"/>
      <c r="AF198" s="356"/>
    </row>
    <row r="199" spans="1:32" s="289" customFormat="1" ht="54.75" customHeight="1">
      <c r="A199" s="311" t="s">
        <v>13</v>
      </c>
      <c r="B199" s="312" t="s">
        <v>502</v>
      </c>
      <c r="C199" s="313" t="s">
        <v>250</v>
      </c>
      <c r="D199" s="313" t="s">
        <v>503</v>
      </c>
      <c r="E199" s="313" t="s">
        <v>355</v>
      </c>
      <c r="F199" s="313" t="s">
        <v>504</v>
      </c>
      <c r="G199" s="106">
        <v>104714</v>
      </c>
      <c r="H199" s="106">
        <v>104714</v>
      </c>
      <c r="I199" s="106">
        <f>+J199</f>
        <v>47210</v>
      </c>
      <c r="J199" s="106">
        <v>47210</v>
      </c>
      <c r="K199" s="106"/>
      <c r="L199" s="106"/>
      <c r="M199" s="106">
        <f>N199</f>
        <v>30000</v>
      </c>
      <c r="N199" s="106">
        <v>30000</v>
      </c>
      <c r="O199" s="106">
        <f>+P199</f>
        <v>227.60900000000001</v>
      </c>
      <c r="P199" s="106">
        <v>227.60900000000001</v>
      </c>
      <c r="Q199" s="106"/>
      <c r="R199" s="106"/>
      <c r="S199" s="106">
        <f>+T199</f>
        <v>600</v>
      </c>
      <c r="T199" s="106">
        <v>600</v>
      </c>
      <c r="U199" s="106">
        <f>+V199</f>
        <v>31025.719000000001</v>
      </c>
      <c r="V199" s="106">
        <v>31025.719000000001</v>
      </c>
      <c r="W199" s="106"/>
      <c r="X199" s="106"/>
      <c r="Y199" s="106"/>
      <c r="Z199" s="106"/>
      <c r="AA199" s="313" t="s">
        <v>505</v>
      </c>
      <c r="AB199" s="314" t="s">
        <v>593</v>
      </c>
      <c r="AC199" s="335"/>
      <c r="AD199" s="355"/>
      <c r="AE199" s="335"/>
      <c r="AF199" s="356"/>
    </row>
    <row r="200" spans="1:32" s="289" customFormat="1" ht="72" customHeight="1">
      <c r="A200" s="311" t="s">
        <v>0</v>
      </c>
      <c r="B200" s="325" t="s">
        <v>506</v>
      </c>
      <c r="C200" s="313" t="s">
        <v>250</v>
      </c>
      <c r="D200" s="313"/>
      <c r="E200" s="313" t="s">
        <v>355</v>
      </c>
      <c r="F200" s="313" t="s">
        <v>507</v>
      </c>
      <c r="G200" s="106">
        <v>122134</v>
      </c>
      <c r="H200" s="106">
        <v>122134</v>
      </c>
      <c r="I200" s="106">
        <f>J200</f>
        <v>32000</v>
      </c>
      <c r="J200" s="106">
        <v>32000</v>
      </c>
      <c r="K200" s="106"/>
      <c r="L200" s="106"/>
      <c r="M200" s="106">
        <f>N200</f>
        <v>1296</v>
      </c>
      <c r="N200" s="106">
        <v>1296</v>
      </c>
      <c r="O200" s="106">
        <v>596</v>
      </c>
      <c r="P200" s="106">
        <f>O200</f>
        <v>596</v>
      </c>
      <c r="Q200" s="106">
        <f>R200</f>
        <v>1296</v>
      </c>
      <c r="R200" s="106">
        <f>N200</f>
        <v>1296</v>
      </c>
      <c r="S200" s="106">
        <f>T200</f>
        <v>3000</v>
      </c>
      <c r="T200" s="106">
        <v>3000</v>
      </c>
      <c r="U200" s="106">
        <f>V200</f>
        <v>1296</v>
      </c>
      <c r="V200" s="106">
        <v>1296</v>
      </c>
      <c r="W200" s="106">
        <f>X200</f>
        <v>29000</v>
      </c>
      <c r="X200" s="106">
        <f>J200-3000</f>
        <v>29000</v>
      </c>
      <c r="Y200" s="106"/>
      <c r="Z200" s="106"/>
      <c r="AA200" s="315"/>
      <c r="AB200" s="314" t="s">
        <v>593</v>
      </c>
      <c r="AC200" s="335"/>
      <c r="AD200" s="355"/>
      <c r="AE200" s="335"/>
      <c r="AF200" s="356"/>
    </row>
    <row r="201" spans="1:32" s="289" customFormat="1" ht="37.5">
      <c r="A201" s="370" t="s">
        <v>24</v>
      </c>
      <c r="B201" s="371" t="s">
        <v>115</v>
      </c>
      <c r="C201" s="291"/>
      <c r="D201" s="291"/>
      <c r="E201" s="291"/>
      <c r="F201" s="291"/>
      <c r="G201" s="372">
        <f>G202</f>
        <v>2872</v>
      </c>
      <c r="H201" s="372">
        <f t="shared" ref="H201:Z202" si="56">H202</f>
        <v>2872</v>
      </c>
      <c r="I201" s="372">
        <f t="shared" si="56"/>
        <v>2872</v>
      </c>
      <c r="J201" s="372">
        <f t="shared" si="56"/>
        <v>0</v>
      </c>
      <c r="K201" s="372">
        <f t="shared" si="56"/>
        <v>0</v>
      </c>
      <c r="L201" s="372">
        <f t="shared" si="56"/>
        <v>0</v>
      </c>
      <c r="M201" s="372">
        <f t="shared" si="56"/>
        <v>0</v>
      </c>
      <c r="N201" s="372">
        <f t="shared" si="56"/>
        <v>0</v>
      </c>
      <c r="O201" s="372">
        <f t="shared" si="56"/>
        <v>0</v>
      </c>
      <c r="P201" s="372">
        <f t="shared" si="56"/>
        <v>0</v>
      </c>
      <c r="Q201" s="372">
        <f t="shared" si="56"/>
        <v>0</v>
      </c>
      <c r="R201" s="372">
        <f t="shared" si="56"/>
        <v>0</v>
      </c>
      <c r="S201" s="372">
        <f t="shared" si="56"/>
        <v>0</v>
      </c>
      <c r="T201" s="372">
        <f t="shared" si="56"/>
        <v>0</v>
      </c>
      <c r="U201" s="372">
        <f t="shared" si="56"/>
        <v>0</v>
      </c>
      <c r="V201" s="372">
        <f t="shared" si="56"/>
        <v>0</v>
      </c>
      <c r="W201" s="372">
        <f t="shared" si="56"/>
        <v>1000</v>
      </c>
      <c r="X201" s="372">
        <f t="shared" si="56"/>
        <v>1000</v>
      </c>
      <c r="Y201" s="372">
        <f t="shared" si="56"/>
        <v>0</v>
      </c>
      <c r="Z201" s="372">
        <f t="shared" si="56"/>
        <v>0</v>
      </c>
      <c r="AA201" s="372"/>
      <c r="AB201" s="314"/>
      <c r="AC201" s="335"/>
      <c r="AD201" s="355"/>
      <c r="AE201" s="335"/>
      <c r="AF201" s="356"/>
    </row>
    <row r="202" spans="1:32" s="289" customFormat="1" ht="19.5">
      <c r="A202" s="367" t="s">
        <v>19</v>
      </c>
      <c r="B202" s="368" t="s">
        <v>20</v>
      </c>
      <c r="C202" s="373"/>
      <c r="D202" s="373"/>
      <c r="E202" s="373"/>
      <c r="F202" s="373"/>
      <c r="G202" s="374">
        <f>G203</f>
        <v>2872</v>
      </c>
      <c r="H202" s="374">
        <f t="shared" si="56"/>
        <v>2872</v>
      </c>
      <c r="I202" s="374">
        <f t="shared" si="56"/>
        <v>2872</v>
      </c>
      <c r="J202" s="374">
        <f t="shared" si="56"/>
        <v>0</v>
      </c>
      <c r="K202" s="374">
        <f t="shared" si="56"/>
        <v>0</v>
      </c>
      <c r="L202" s="374">
        <f t="shared" si="56"/>
        <v>0</v>
      </c>
      <c r="M202" s="374">
        <f t="shared" si="56"/>
        <v>0</v>
      </c>
      <c r="N202" s="374">
        <f t="shared" si="56"/>
        <v>0</v>
      </c>
      <c r="O202" s="374">
        <f t="shared" si="56"/>
        <v>0</v>
      </c>
      <c r="P202" s="374">
        <f t="shared" si="56"/>
        <v>0</v>
      </c>
      <c r="Q202" s="374">
        <f t="shared" si="56"/>
        <v>0</v>
      </c>
      <c r="R202" s="374">
        <f t="shared" si="56"/>
        <v>0</v>
      </c>
      <c r="S202" s="374">
        <f t="shared" si="56"/>
        <v>0</v>
      </c>
      <c r="T202" s="374">
        <f t="shared" si="56"/>
        <v>0</v>
      </c>
      <c r="U202" s="374">
        <f t="shared" si="56"/>
        <v>0</v>
      </c>
      <c r="V202" s="374">
        <f t="shared" si="56"/>
        <v>0</v>
      </c>
      <c r="W202" s="374">
        <f t="shared" si="56"/>
        <v>1000</v>
      </c>
      <c r="X202" s="374">
        <f t="shared" si="56"/>
        <v>1000</v>
      </c>
      <c r="Y202" s="374">
        <f t="shared" si="56"/>
        <v>0</v>
      </c>
      <c r="Z202" s="374">
        <f t="shared" si="56"/>
        <v>0</v>
      </c>
      <c r="AA202" s="374"/>
      <c r="AB202" s="314"/>
      <c r="AC202" s="335"/>
      <c r="AD202" s="355"/>
      <c r="AE202" s="335"/>
      <c r="AF202" s="356"/>
    </row>
    <row r="203" spans="1:32" s="289" customFormat="1" ht="72" customHeight="1">
      <c r="A203" s="339" t="s">
        <v>13</v>
      </c>
      <c r="B203" s="375" t="s">
        <v>719</v>
      </c>
      <c r="C203" s="331" t="s">
        <v>720</v>
      </c>
      <c r="D203" s="331"/>
      <c r="E203" s="331" t="s">
        <v>409</v>
      </c>
      <c r="F203" s="331"/>
      <c r="G203" s="342">
        <v>2872</v>
      </c>
      <c r="H203" s="342">
        <v>2872</v>
      </c>
      <c r="I203" s="342">
        <v>2872</v>
      </c>
      <c r="J203" s="342"/>
      <c r="K203" s="342"/>
      <c r="L203" s="342"/>
      <c r="M203" s="342"/>
      <c r="N203" s="342"/>
      <c r="O203" s="342"/>
      <c r="P203" s="342"/>
      <c r="Q203" s="342"/>
      <c r="R203" s="342"/>
      <c r="S203" s="342"/>
      <c r="T203" s="342"/>
      <c r="U203" s="342"/>
      <c r="V203" s="342"/>
      <c r="W203" s="376">
        <v>1000</v>
      </c>
      <c r="X203" s="376">
        <v>1000</v>
      </c>
      <c r="Y203" s="342"/>
      <c r="Z203" s="342"/>
      <c r="AA203" s="342"/>
      <c r="AB203" s="314" t="s">
        <v>684</v>
      </c>
      <c r="AC203" s="335"/>
      <c r="AD203" s="355"/>
      <c r="AE203" s="335"/>
      <c r="AF203" s="356"/>
    </row>
    <row r="204" spans="1:32" s="289" customFormat="1" ht="48.75" customHeight="1">
      <c r="A204" s="377" t="s">
        <v>375</v>
      </c>
      <c r="B204" s="316" t="s">
        <v>358</v>
      </c>
      <c r="C204" s="313"/>
      <c r="D204" s="327"/>
      <c r="E204" s="318"/>
      <c r="F204" s="331"/>
      <c r="G204" s="113">
        <f>G205</f>
        <v>2075116</v>
      </c>
      <c r="H204" s="113">
        <f t="shared" ref="H204:Z204" si="57">H205</f>
        <v>822390</v>
      </c>
      <c r="I204" s="113">
        <f t="shared" si="57"/>
        <v>673654</v>
      </c>
      <c r="J204" s="113">
        <f t="shared" si="57"/>
        <v>673210</v>
      </c>
      <c r="K204" s="113">
        <f t="shared" si="57"/>
        <v>0</v>
      </c>
      <c r="L204" s="113">
        <f t="shared" si="57"/>
        <v>0</v>
      </c>
      <c r="M204" s="113">
        <f t="shared" si="57"/>
        <v>248282</v>
      </c>
      <c r="N204" s="113">
        <f t="shared" si="57"/>
        <v>247953</v>
      </c>
      <c r="O204" s="113">
        <f t="shared" si="57"/>
        <v>50080.2</v>
      </c>
      <c r="P204" s="113">
        <f t="shared" si="57"/>
        <v>49938.2</v>
      </c>
      <c r="Q204" s="113">
        <f t="shared" si="57"/>
        <v>77931.7</v>
      </c>
      <c r="R204" s="113">
        <f t="shared" si="57"/>
        <v>77602.7</v>
      </c>
      <c r="S204" s="113">
        <f t="shared" si="57"/>
        <v>234087</v>
      </c>
      <c r="T204" s="113">
        <f t="shared" si="57"/>
        <v>233775</v>
      </c>
      <c r="U204" s="113">
        <f t="shared" si="57"/>
        <v>540496</v>
      </c>
      <c r="V204" s="113">
        <f t="shared" si="57"/>
        <v>540184</v>
      </c>
      <c r="W204" s="113">
        <f t="shared" si="57"/>
        <v>142287</v>
      </c>
      <c r="X204" s="113">
        <f t="shared" si="57"/>
        <v>142155</v>
      </c>
      <c r="Y204" s="113">
        <f t="shared" si="57"/>
        <v>3500</v>
      </c>
      <c r="Z204" s="113">
        <f t="shared" si="57"/>
        <v>0</v>
      </c>
      <c r="AA204" s="110"/>
      <c r="AB204" s="110"/>
      <c r="AC204" s="335"/>
      <c r="AD204" s="355"/>
      <c r="AE204" s="335"/>
      <c r="AF204" s="356"/>
    </row>
    <row r="205" spans="1:32" s="289" customFormat="1" ht="48.75" customHeight="1">
      <c r="A205" s="302" t="s">
        <v>43</v>
      </c>
      <c r="B205" s="301" t="s">
        <v>58</v>
      </c>
      <c r="C205" s="313"/>
      <c r="D205" s="327"/>
      <c r="E205" s="318"/>
      <c r="F205" s="331"/>
      <c r="G205" s="113">
        <f t="shared" ref="G205:Z205" si="58">G206+G219+G232</f>
        <v>2075116</v>
      </c>
      <c r="H205" s="113">
        <f t="shared" si="58"/>
        <v>822390</v>
      </c>
      <c r="I205" s="113">
        <f t="shared" si="58"/>
        <v>673654</v>
      </c>
      <c r="J205" s="113">
        <f t="shared" si="58"/>
        <v>673210</v>
      </c>
      <c r="K205" s="113">
        <f t="shared" si="58"/>
        <v>0</v>
      </c>
      <c r="L205" s="113">
        <f t="shared" si="58"/>
        <v>0</v>
      </c>
      <c r="M205" s="113">
        <f t="shared" si="58"/>
        <v>248282</v>
      </c>
      <c r="N205" s="113">
        <f t="shared" si="58"/>
        <v>247953</v>
      </c>
      <c r="O205" s="113">
        <f t="shared" si="58"/>
        <v>50080.2</v>
      </c>
      <c r="P205" s="113">
        <f t="shared" si="58"/>
        <v>49938.2</v>
      </c>
      <c r="Q205" s="113">
        <f t="shared" si="58"/>
        <v>77931.7</v>
      </c>
      <c r="R205" s="113">
        <f t="shared" si="58"/>
        <v>77602.7</v>
      </c>
      <c r="S205" s="113">
        <f t="shared" si="58"/>
        <v>234087</v>
      </c>
      <c r="T205" s="113">
        <f t="shared" si="58"/>
        <v>233775</v>
      </c>
      <c r="U205" s="113">
        <f t="shared" si="58"/>
        <v>540496</v>
      </c>
      <c r="V205" s="113">
        <f t="shared" si="58"/>
        <v>540184</v>
      </c>
      <c r="W205" s="113">
        <f t="shared" si="58"/>
        <v>142287</v>
      </c>
      <c r="X205" s="113">
        <f t="shared" si="58"/>
        <v>142155</v>
      </c>
      <c r="Y205" s="113">
        <f t="shared" si="58"/>
        <v>3500</v>
      </c>
      <c r="Z205" s="113">
        <f t="shared" si="58"/>
        <v>0</v>
      </c>
      <c r="AA205" s="110"/>
      <c r="AB205" s="110"/>
      <c r="AC205" s="335"/>
      <c r="AD205" s="355"/>
      <c r="AE205" s="335"/>
      <c r="AF205" s="356"/>
    </row>
    <row r="206" spans="1:32" s="289" customFormat="1" ht="48.75" customHeight="1">
      <c r="A206" s="303" t="s">
        <v>39</v>
      </c>
      <c r="B206" s="304" t="s">
        <v>108</v>
      </c>
      <c r="C206" s="313"/>
      <c r="D206" s="327"/>
      <c r="E206" s="318"/>
      <c r="F206" s="331"/>
      <c r="G206" s="113">
        <f>G207+G211</f>
        <v>1793580</v>
      </c>
      <c r="H206" s="113">
        <f t="shared" ref="H206:Z206" si="59">H207+H211</f>
        <v>549443</v>
      </c>
      <c r="I206" s="113">
        <f t="shared" si="59"/>
        <v>398415</v>
      </c>
      <c r="J206" s="113">
        <f t="shared" si="59"/>
        <v>398415</v>
      </c>
      <c r="K206" s="113">
        <f t="shared" si="59"/>
        <v>0</v>
      </c>
      <c r="L206" s="113">
        <f t="shared" si="59"/>
        <v>0</v>
      </c>
      <c r="M206" s="113">
        <f t="shared" si="59"/>
        <v>184562</v>
      </c>
      <c r="N206" s="113">
        <f t="shared" si="59"/>
        <v>184562</v>
      </c>
      <c r="O206" s="113">
        <f t="shared" si="59"/>
        <v>43750</v>
      </c>
      <c r="P206" s="113">
        <f t="shared" si="59"/>
        <v>43750</v>
      </c>
      <c r="Q206" s="113">
        <f t="shared" si="59"/>
        <v>46561.8</v>
      </c>
      <c r="R206" s="113">
        <f t="shared" si="59"/>
        <v>46561.8</v>
      </c>
      <c r="S206" s="113">
        <f t="shared" si="59"/>
        <v>173066</v>
      </c>
      <c r="T206" s="113">
        <f t="shared" si="59"/>
        <v>173066</v>
      </c>
      <c r="U206" s="113">
        <f t="shared" si="59"/>
        <v>395942</v>
      </c>
      <c r="V206" s="113">
        <f t="shared" si="59"/>
        <v>395942</v>
      </c>
      <c r="W206" s="113">
        <f t="shared" si="59"/>
        <v>2312</v>
      </c>
      <c r="X206" s="113">
        <f t="shared" si="59"/>
        <v>2312</v>
      </c>
      <c r="Y206" s="113">
        <f t="shared" si="59"/>
        <v>0</v>
      </c>
      <c r="Z206" s="113">
        <f t="shared" si="59"/>
        <v>0</v>
      </c>
      <c r="AA206" s="110"/>
      <c r="AB206" s="110"/>
      <c r="AC206" s="335"/>
      <c r="AD206" s="355"/>
      <c r="AE206" s="335"/>
      <c r="AF206" s="356"/>
    </row>
    <row r="207" spans="1:32" s="289" customFormat="1" ht="48.75" customHeight="1">
      <c r="A207" s="367" t="s">
        <v>46</v>
      </c>
      <c r="B207" s="308" t="s">
        <v>18</v>
      </c>
      <c r="C207" s="378"/>
      <c r="D207" s="378"/>
      <c r="E207" s="378"/>
      <c r="F207" s="378"/>
      <c r="G207" s="379">
        <f>SUM(G208:G210)</f>
        <v>1662632</v>
      </c>
      <c r="H207" s="379">
        <f t="shared" ref="H207:Z207" si="60">SUM(H208:H210)</f>
        <v>470002</v>
      </c>
      <c r="I207" s="379">
        <f t="shared" si="60"/>
        <v>323320</v>
      </c>
      <c r="J207" s="379">
        <f t="shared" si="60"/>
        <v>323320</v>
      </c>
      <c r="K207" s="379">
        <f t="shared" si="60"/>
        <v>0</v>
      </c>
      <c r="L207" s="379">
        <f t="shared" si="60"/>
        <v>0</v>
      </c>
      <c r="M207" s="379">
        <f t="shared" si="60"/>
        <v>150929</v>
      </c>
      <c r="N207" s="379">
        <f t="shared" si="60"/>
        <v>150929</v>
      </c>
      <c r="O207" s="379">
        <f t="shared" si="60"/>
        <v>36116</v>
      </c>
      <c r="P207" s="379">
        <f t="shared" si="60"/>
        <v>36116</v>
      </c>
      <c r="Q207" s="379">
        <f t="shared" si="60"/>
        <v>23807</v>
      </c>
      <c r="R207" s="379">
        <f t="shared" si="60"/>
        <v>23807</v>
      </c>
      <c r="S207" s="379">
        <f t="shared" si="60"/>
        <v>139433</v>
      </c>
      <c r="T207" s="379">
        <f t="shared" si="60"/>
        <v>139433</v>
      </c>
      <c r="U207" s="379">
        <f t="shared" si="60"/>
        <v>323320</v>
      </c>
      <c r="V207" s="379">
        <f t="shared" si="60"/>
        <v>323320</v>
      </c>
      <c r="W207" s="379">
        <f t="shared" si="60"/>
        <v>0</v>
      </c>
      <c r="X207" s="379">
        <f t="shared" si="60"/>
        <v>0</v>
      </c>
      <c r="Y207" s="379">
        <f t="shared" si="60"/>
        <v>0</v>
      </c>
      <c r="Z207" s="379">
        <f t="shared" si="60"/>
        <v>0</v>
      </c>
      <c r="AA207" s="380"/>
      <c r="AB207" s="378"/>
      <c r="AC207" s="335"/>
      <c r="AD207" s="355"/>
      <c r="AE207" s="335"/>
      <c r="AF207" s="356"/>
    </row>
    <row r="208" spans="1:32" s="289" customFormat="1" ht="76.5" customHeight="1">
      <c r="A208" s="339" t="s">
        <v>13</v>
      </c>
      <c r="B208" s="322" t="s">
        <v>1081</v>
      </c>
      <c r="C208" s="314" t="s">
        <v>1082</v>
      </c>
      <c r="D208" s="314" t="s">
        <v>1083</v>
      </c>
      <c r="E208" s="314" t="s">
        <v>1084</v>
      </c>
      <c r="F208" s="314" t="s">
        <v>1085</v>
      </c>
      <c r="G208" s="99">
        <v>443473</v>
      </c>
      <c r="H208" s="99">
        <v>342673</v>
      </c>
      <c r="I208" s="91">
        <v>184700</v>
      </c>
      <c r="J208" s="91">
        <v>184700</v>
      </c>
      <c r="K208" s="91"/>
      <c r="L208" s="91"/>
      <c r="M208" s="91">
        <v>12309</v>
      </c>
      <c r="N208" s="91">
        <v>12309</v>
      </c>
      <c r="O208" s="91">
        <v>12309</v>
      </c>
      <c r="P208" s="91">
        <v>12309</v>
      </c>
      <c r="Q208" s="91">
        <v>0</v>
      </c>
      <c r="R208" s="91"/>
      <c r="S208" s="91">
        <v>12309</v>
      </c>
      <c r="T208" s="91">
        <v>12309</v>
      </c>
      <c r="U208" s="91">
        <v>184700</v>
      </c>
      <c r="V208" s="91">
        <v>184700</v>
      </c>
      <c r="W208" s="91">
        <v>0</v>
      </c>
      <c r="X208" s="91"/>
      <c r="Y208" s="91"/>
      <c r="Z208" s="91"/>
      <c r="AA208" s="343"/>
      <c r="AB208" s="314" t="s">
        <v>1079</v>
      </c>
      <c r="AC208" s="335"/>
      <c r="AD208" s="355"/>
      <c r="AE208" s="335"/>
      <c r="AF208" s="356"/>
    </row>
    <row r="209" spans="1:32" s="289" customFormat="1" ht="63.75" customHeight="1">
      <c r="A209" s="339" t="s">
        <v>0</v>
      </c>
      <c r="B209" s="322" t="s">
        <v>1086</v>
      </c>
      <c r="C209" s="314" t="s">
        <v>465</v>
      </c>
      <c r="D209" s="314" t="s">
        <v>1087</v>
      </c>
      <c r="E209" s="314" t="s">
        <v>316</v>
      </c>
      <c r="F209" s="314" t="s">
        <v>1088</v>
      </c>
      <c r="G209" s="99">
        <v>996766</v>
      </c>
      <c r="H209" s="99">
        <v>15681</v>
      </c>
      <c r="I209" s="91">
        <v>108620</v>
      </c>
      <c r="J209" s="91">
        <v>108620</v>
      </c>
      <c r="K209" s="91"/>
      <c r="L209" s="91"/>
      <c r="M209" s="91">
        <v>108620</v>
      </c>
      <c r="N209" s="91">
        <v>108620</v>
      </c>
      <c r="O209" s="91">
        <v>23807</v>
      </c>
      <c r="P209" s="91">
        <v>23807</v>
      </c>
      <c r="Q209" s="91">
        <v>23807</v>
      </c>
      <c r="R209" s="91">
        <v>23807</v>
      </c>
      <c r="S209" s="91">
        <v>97124</v>
      </c>
      <c r="T209" s="91">
        <v>97124</v>
      </c>
      <c r="U209" s="91">
        <v>108620</v>
      </c>
      <c r="V209" s="91">
        <v>108620</v>
      </c>
      <c r="W209" s="91">
        <v>0</v>
      </c>
      <c r="X209" s="91"/>
      <c r="Y209" s="91"/>
      <c r="Z209" s="91"/>
      <c r="AA209" s="343"/>
      <c r="AB209" s="314" t="s">
        <v>1079</v>
      </c>
      <c r="AC209" s="335"/>
      <c r="AD209" s="355"/>
      <c r="AE209" s="335"/>
      <c r="AF209" s="356"/>
    </row>
    <row r="210" spans="1:32" s="289" customFormat="1" ht="80.25" customHeight="1">
      <c r="A210" s="339" t="s">
        <v>5</v>
      </c>
      <c r="B210" s="322" t="s">
        <v>1089</v>
      </c>
      <c r="C210" s="314" t="s">
        <v>465</v>
      </c>
      <c r="D210" s="314" t="s">
        <v>1090</v>
      </c>
      <c r="E210" s="314" t="s">
        <v>305</v>
      </c>
      <c r="F210" s="314" t="s">
        <v>1091</v>
      </c>
      <c r="G210" s="99">
        <v>222393</v>
      </c>
      <c r="H210" s="99">
        <v>111648</v>
      </c>
      <c r="I210" s="91">
        <v>30000</v>
      </c>
      <c r="J210" s="91">
        <v>30000</v>
      </c>
      <c r="K210" s="91"/>
      <c r="L210" s="91"/>
      <c r="M210" s="91">
        <v>30000</v>
      </c>
      <c r="N210" s="91">
        <v>30000</v>
      </c>
      <c r="O210" s="91">
        <v>0</v>
      </c>
      <c r="P210" s="91"/>
      <c r="Q210" s="91">
        <v>0</v>
      </c>
      <c r="R210" s="91"/>
      <c r="S210" s="91">
        <v>30000</v>
      </c>
      <c r="T210" s="91">
        <v>30000</v>
      </c>
      <c r="U210" s="91">
        <v>30000</v>
      </c>
      <c r="V210" s="91">
        <v>30000</v>
      </c>
      <c r="W210" s="91">
        <v>0</v>
      </c>
      <c r="X210" s="91"/>
      <c r="Y210" s="91"/>
      <c r="Z210" s="91"/>
      <c r="AA210" s="343"/>
      <c r="AB210" s="314" t="s">
        <v>1079</v>
      </c>
      <c r="AC210" s="335"/>
      <c r="AD210" s="355"/>
      <c r="AE210" s="335"/>
      <c r="AF210" s="356"/>
    </row>
    <row r="211" spans="1:32" s="385" customFormat="1" ht="19.5">
      <c r="A211" s="307" t="s">
        <v>19</v>
      </c>
      <c r="B211" s="308" t="s">
        <v>20</v>
      </c>
      <c r="C211" s="347"/>
      <c r="D211" s="381"/>
      <c r="E211" s="382"/>
      <c r="F211" s="383"/>
      <c r="G211" s="114">
        <f>SUM(G212:G218)</f>
        <v>130948</v>
      </c>
      <c r="H211" s="114">
        <f t="shared" ref="H211:Z211" si="61">SUM(H212:H218)</f>
        <v>79441</v>
      </c>
      <c r="I211" s="114">
        <f t="shared" si="61"/>
        <v>75095</v>
      </c>
      <c r="J211" s="114">
        <f t="shared" si="61"/>
        <v>75095</v>
      </c>
      <c r="K211" s="114">
        <f t="shared" si="61"/>
        <v>0</v>
      </c>
      <c r="L211" s="114">
        <f t="shared" si="61"/>
        <v>0</v>
      </c>
      <c r="M211" s="114">
        <f t="shared" si="61"/>
        <v>33633</v>
      </c>
      <c r="N211" s="114">
        <f t="shared" si="61"/>
        <v>33633</v>
      </c>
      <c r="O211" s="114">
        <f t="shared" si="61"/>
        <v>7634</v>
      </c>
      <c r="P211" s="114">
        <f t="shared" si="61"/>
        <v>7634</v>
      </c>
      <c r="Q211" s="114">
        <f t="shared" si="61"/>
        <v>22754.799999999999</v>
      </c>
      <c r="R211" s="114">
        <f t="shared" si="61"/>
        <v>22754.799999999999</v>
      </c>
      <c r="S211" s="114">
        <f t="shared" si="61"/>
        <v>33633</v>
      </c>
      <c r="T211" s="114">
        <f t="shared" si="61"/>
        <v>33633</v>
      </c>
      <c r="U211" s="114">
        <f t="shared" si="61"/>
        <v>72622</v>
      </c>
      <c r="V211" s="114">
        <f t="shared" si="61"/>
        <v>72622</v>
      </c>
      <c r="W211" s="114">
        <f t="shared" si="61"/>
        <v>2312</v>
      </c>
      <c r="X211" s="114">
        <f t="shared" si="61"/>
        <v>2312</v>
      </c>
      <c r="Y211" s="114">
        <f t="shared" si="61"/>
        <v>0</v>
      </c>
      <c r="Z211" s="114">
        <f t="shared" si="61"/>
        <v>0</v>
      </c>
      <c r="AA211" s="115"/>
      <c r="AB211" s="115"/>
      <c r="AC211" s="384"/>
      <c r="AD211" s="355"/>
      <c r="AE211" s="384"/>
      <c r="AF211" s="356"/>
    </row>
    <row r="212" spans="1:32" s="289" customFormat="1" ht="48.75" customHeight="1">
      <c r="A212" s="339" t="s">
        <v>13</v>
      </c>
      <c r="B212" s="369" t="s">
        <v>798</v>
      </c>
      <c r="C212" s="353" t="s">
        <v>210</v>
      </c>
      <c r="D212" s="353" t="s">
        <v>799</v>
      </c>
      <c r="E212" s="353" t="s">
        <v>230</v>
      </c>
      <c r="F212" s="353" t="s">
        <v>800</v>
      </c>
      <c r="G212" s="99">
        <v>8148</v>
      </c>
      <c r="H212" s="99">
        <v>4681</v>
      </c>
      <c r="I212" s="99">
        <v>4290</v>
      </c>
      <c r="J212" s="99">
        <v>4290</v>
      </c>
      <c r="K212" s="91">
        <v>0</v>
      </c>
      <c r="L212" s="91">
        <v>0</v>
      </c>
      <c r="M212" s="91">
        <v>2000</v>
      </c>
      <c r="N212" s="91">
        <v>2000</v>
      </c>
      <c r="O212" s="91">
        <v>0</v>
      </c>
      <c r="P212" s="91">
        <v>0</v>
      </c>
      <c r="Q212" s="91">
        <v>0</v>
      </c>
      <c r="R212" s="91">
        <v>0</v>
      </c>
      <c r="S212" s="91">
        <v>2000</v>
      </c>
      <c r="T212" s="91">
        <v>2000</v>
      </c>
      <c r="U212" s="91">
        <v>2000</v>
      </c>
      <c r="V212" s="91">
        <v>2000</v>
      </c>
      <c r="W212" s="91">
        <v>2290</v>
      </c>
      <c r="X212" s="91">
        <v>2290</v>
      </c>
      <c r="Y212" s="91">
        <v>0</v>
      </c>
      <c r="Z212" s="91">
        <v>0</v>
      </c>
      <c r="AA212" s="343"/>
      <c r="AB212" s="314" t="s">
        <v>761</v>
      </c>
      <c r="AC212" s="335"/>
      <c r="AD212" s="355"/>
      <c r="AE212" s="335"/>
      <c r="AF212" s="356"/>
    </row>
    <row r="213" spans="1:32" s="289" customFormat="1" ht="48.75" customHeight="1">
      <c r="A213" s="339" t="s">
        <v>0</v>
      </c>
      <c r="B213" s="322" t="s">
        <v>801</v>
      </c>
      <c r="C213" s="314" t="s">
        <v>210</v>
      </c>
      <c r="D213" s="386" t="s">
        <v>802</v>
      </c>
      <c r="E213" s="314" t="s">
        <v>252</v>
      </c>
      <c r="F213" s="314" t="s">
        <v>803</v>
      </c>
      <c r="G213" s="99">
        <v>6317</v>
      </c>
      <c r="H213" s="99">
        <v>4000</v>
      </c>
      <c r="I213" s="91">
        <v>3783</v>
      </c>
      <c r="J213" s="91">
        <v>3783</v>
      </c>
      <c r="K213" s="91">
        <v>0</v>
      </c>
      <c r="L213" s="91">
        <v>0</v>
      </c>
      <c r="M213" s="91">
        <v>0</v>
      </c>
      <c r="N213" s="91">
        <v>0</v>
      </c>
      <c r="O213" s="91">
        <v>0</v>
      </c>
      <c r="P213" s="91">
        <v>0</v>
      </c>
      <c r="Q213" s="91">
        <v>0</v>
      </c>
      <c r="R213" s="91">
        <v>0</v>
      </c>
      <c r="S213" s="91">
        <v>0</v>
      </c>
      <c r="T213" s="91">
        <v>0</v>
      </c>
      <c r="U213" s="91">
        <v>3761</v>
      </c>
      <c r="V213" s="91">
        <v>3761</v>
      </c>
      <c r="W213" s="91">
        <v>22</v>
      </c>
      <c r="X213" s="91">
        <v>22</v>
      </c>
      <c r="Y213" s="91">
        <v>0</v>
      </c>
      <c r="Z213" s="91">
        <v>0</v>
      </c>
      <c r="AA213" s="343"/>
      <c r="AB213" s="314" t="s">
        <v>761</v>
      </c>
      <c r="AC213" s="335"/>
      <c r="AD213" s="355"/>
      <c r="AE213" s="335"/>
      <c r="AF213" s="356"/>
    </row>
    <row r="214" spans="1:32" s="289" customFormat="1" ht="48.75" customHeight="1">
      <c r="A214" s="339" t="s">
        <v>5</v>
      </c>
      <c r="B214" s="322" t="s">
        <v>804</v>
      </c>
      <c r="C214" s="314" t="s">
        <v>210</v>
      </c>
      <c r="D214" s="314" t="s">
        <v>805</v>
      </c>
      <c r="E214" s="314" t="s">
        <v>230</v>
      </c>
      <c r="F214" s="314" t="s">
        <v>806</v>
      </c>
      <c r="G214" s="99">
        <v>6085</v>
      </c>
      <c r="H214" s="99">
        <v>4000</v>
      </c>
      <c r="I214" s="91">
        <v>3982</v>
      </c>
      <c r="J214" s="91">
        <v>3982</v>
      </c>
      <c r="K214" s="91">
        <v>0</v>
      </c>
      <c r="L214" s="91">
        <v>0</v>
      </c>
      <c r="M214" s="91">
        <v>0</v>
      </c>
      <c r="N214" s="91">
        <v>0</v>
      </c>
      <c r="O214" s="91">
        <v>0</v>
      </c>
      <c r="P214" s="91">
        <v>0</v>
      </c>
      <c r="Q214" s="91">
        <v>0</v>
      </c>
      <c r="R214" s="91">
        <v>0</v>
      </c>
      <c r="S214" s="91">
        <v>0</v>
      </c>
      <c r="T214" s="91">
        <v>0</v>
      </c>
      <c r="U214" s="91">
        <v>3982</v>
      </c>
      <c r="V214" s="91">
        <v>3982</v>
      </c>
      <c r="W214" s="91">
        <v>0</v>
      </c>
      <c r="X214" s="91">
        <v>0</v>
      </c>
      <c r="Y214" s="91">
        <v>0</v>
      </c>
      <c r="Z214" s="91">
        <v>0</v>
      </c>
      <c r="AA214" s="343"/>
      <c r="AB214" s="314" t="s">
        <v>761</v>
      </c>
      <c r="AC214" s="335"/>
      <c r="AD214" s="355"/>
      <c r="AE214" s="335"/>
      <c r="AF214" s="356"/>
    </row>
    <row r="215" spans="1:32" s="289" customFormat="1" ht="48.75" customHeight="1">
      <c r="A215" s="339">
        <v>4</v>
      </c>
      <c r="B215" s="322" t="s">
        <v>990</v>
      </c>
      <c r="C215" s="314" t="s">
        <v>445</v>
      </c>
      <c r="D215" s="314"/>
      <c r="E215" s="314" t="s">
        <v>316</v>
      </c>
      <c r="F215" s="314" t="s">
        <v>991</v>
      </c>
      <c r="G215" s="99">
        <v>25530</v>
      </c>
      <c r="H215" s="99">
        <v>14175</v>
      </c>
      <c r="I215" s="91">
        <v>14175</v>
      </c>
      <c r="J215" s="91">
        <v>14175</v>
      </c>
      <c r="K215" s="91"/>
      <c r="L215" s="91"/>
      <c r="M215" s="91">
        <v>3648</v>
      </c>
      <c r="N215" s="91">
        <v>3648</v>
      </c>
      <c r="O215" s="91">
        <v>3152</v>
      </c>
      <c r="P215" s="91">
        <v>3152</v>
      </c>
      <c r="Q215" s="91">
        <v>2553.6</v>
      </c>
      <c r="R215" s="91">
        <v>2553.6</v>
      </c>
      <c r="S215" s="91">
        <v>3648</v>
      </c>
      <c r="T215" s="91">
        <v>3648</v>
      </c>
      <c r="U215" s="91">
        <v>14175</v>
      </c>
      <c r="V215" s="91">
        <v>14175</v>
      </c>
      <c r="W215" s="91">
        <v>0</v>
      </c>
      <c r="X215" s="91">
        <v>0</v>
      </c>
      <c r="Y215" s="91"/>
      <c r="Z215" s="91"/>
      <c r="AA215" s="343"/>
      <c r="AB215" s="314" t="s">
        <v>955</v>
      </c>
      <c r="AC215" s="335"/>
      <c r="AD215" s="355"/>
      <c r="AE215" s="335"/>
      <c r="AF215" s="356"/>
    </row>
    <row r="216" spans="1:32" s="289" customFormat="1" ht="48.75" customHeight="1">
      <c r="A216" s="339">
        <v>5</v>
      </c>
      <c r="B216" s="322" t="s">
        <v>992</v>
      </c>
      <c r="C216" s="314"/>
      <c r="D216" s="314"/>
      <c r="E216" s="314" t="s">
        <v>316</v>
      </c>
      <c r="F216" s="314" t="s">
        <v>993</v>
      </c>
      <c r="G216" s="99">
        <v>6482</v>
      </c>
      <c r="H216" s="99">
        <v>4276</v>
      </c>
      <c r="I216" s="91">
        <v>4276</v>
      </c>
      <c r="J216" s="91">
        <v>4276</v>
      </c>
      <c r="K216" s="91"/>
      <c r="L216" s="91"/>
      <c r="M216" s="91">
        <v>3236</v>
      </c>
      <c r="N216" s="91">
        <v>3236</v>
      </c>
      <c r="O216" s="91">
        <v>0</v>
      </c>
      <c r="P216" s="91"/>
      <c r="Q216" s="91">
        <v>2265.1999999999998</v>
      </c>
      <c r="R216" s="91">
        <v>2265.1999999999998</v>
      </c>
      <c r="S216" s="91">
        <v>3236</v>
      </c>
      <c r="T216" s="91">
        <v>3236</v>
      </c>
      <c r="U216" s="91">
        <v>4276</v>
      </c>
      <c r="V216" s="91">
        <v>4276</v>
      </c>
      <c r="W216" s="91"/>
      <c r="X216" s="91"/>
      <c r="Y216" s="91"/>
      <c r="Z216" s="91"/>
      <c r="AA216" s="343"/>
      <c r="AB216" s="314" t="s">
        <v>955</v>
      </c>
      <c r="AC216" s="335"/>
      <c r="AD216" s="355"/>
      <c r="AE216" s="335"/>
      <c r="AF216" s="356"/>
    </row>
    <row r="217" spans="1:32" s="289" customFormat="1" ht="48.75" customHeight="1">
      <c r="A217" s="339">
        <v>6</v>
      </c>
      <c r="B217" s="322" t="s">
        <v>1003</v>
      </c>
      <c r="C217" s="314" t="s">
        <v>1004</v>
      </c>
      <c r="D217" s="314" t="s">
        <v>1005</v>
      </c>
      <c r="E217" s="314" t="s">
        <v>1006</v>
      </c>
      <c r="F217" s="314" t="s">
        <v>1007</v>
      </c>
      <c r="G217" s="99">
        <v>4484</v>
      </c>
      <c r="H217" s="99">
        <v>3092</v>
      </c>
      <c r="I217" s="91">
        <v>3092</v>
      </c>
      <c r="J217" s="91">
        <v>3092</v>
      </c>
      <c r="K217" s="91"/>
      <c r="L217" s="91"/>
      <c r="M217" s="91">
        <v>1436</v>
      </c>
      <c r="N217" s="91">
        <v>1436</v>
      </c>
      <c r="O217" s="91">
        <v>496</v>
      </c>
      <c r="P217" s="91">
        <v>496</v>
      </c>
      <c r="Q217" s="91">
        <v>1436</v>
      </c>
      <c r="R217" s="91">
        <v>1436</v>
      </c>
      <c r="S217" s="91">
        <v>1436</v>
      </c>
      <c r="T217" s="91">
        <v>1436</v>
      </c>
      <c r="U217" s="91">
        <v>2931</v>
      </c>
      <c r="V217" s="91">
        <v>2931</v>
      </c>
      <c r="W217" s="91">
        <v>0</v>
      </c>
      <c r="X217" s="91">
        <v>0</v>
      </c>
      <c r="Y217" s="91"/>
      <c r="Z217" s="91"/>
      <c r="AA217" s="343"/>
      <c r="AB217" s="314" t="s">
        <v>1002</v>
      </c>
      <c r="AC217" s="335"/>
      <c r="AD217" s="355"/>
      <c r="AE217" s="335"/>
      <c r="AF217" s="356"/>
    </row>
    <row r="218" spans="1:32" s="289" customFormat="1" ht="103.5" customHeight="1">
      <c r="A218" s="331">
        <v>7</v>
      </c>
      <c r="B218" s="299" t="s">
        <v>1092</v>
      </c>
      <c r="C218" s="299" t="s">
        <v>465</v>
      </c>
      <c r="D218" s="299" t="s">
        <v>1093</v>
      </c>
      <c r="E218" s="299" t="s">
        <v>230</v>
      </c>
      <c r="F218" s="299" t="s">
        <v>1094</v>
      </c>
      <c r="G218" s="299">
        <v>73902</v>
      </c>
      <c r="H218" s="299">
        <v>45217</v>
      </c>
      <c r="I218" s="299">
        <v>41497</v>
      </c>
      <c r="J218" s="299">
        <v>41497</v>
      </c>
      <c r="K218" s="299"/>
      <c r="L218" s="299"/>
      <c r="M218" s="299">
        <v>23313</v>
      </c>
      <c r="N218" s="299">
        <v>23313</v>
      </c>
      <c r="O218" s="299">
        <v>3986</v>
      </c>
      <c r="P218" s="299">
        <v>3986</v>
      </c>
      <c r="Q218" s="299">
        <v>16500</v>
      </c>
      <c r="R218" s="299">
        <v>16500</v>
      </c>
      <c r="S218" s="299">
        <v>23313</v>
      </c>
      <c r="T218" s="299">
        <v>23313</v>
      </c>
      <c r="U218" s="299">
        <v>41497</v>
      </c>
      <c r="V218" s="299">
        <v>41497</v>
      </c>
      <c r="W218" s="299">
        <v>0</v>
      </c>
      <c r="X218" s="299"/>
      <c r="Y218" s="299"/>
      <c r="Z218" s="299"/>
      <c r="AA218" s="299"/>
      <c r="AB218" s="314" t="s">
        <v>1079</v>
      </c>
      <c r="AC218" s="335"/>
      <c r="AD218" s="335"/>
      <c r="AE218" s="335"/>
      <c r="AF218" s="281"/>
    </row>
    <row r="219" spans="1:32" s="289" customFormat="1" ht="38.25" customHeight="1">
      <c r="A219" s="303" t="s">
        <v>41</v>
      </c>
      <c r="B219" s="304" t="s">
        <v>109</v>
      </c>
      <c r="C219" s="313"/>
      <c r="D219" s="327"/>
      <c r="E219" s="318"/>
      <c r="F219" s="331"/>
      <c r="G219" s="113">
        <f t="shared" ref="G219:Z219" si="62">G220+G222</f>
        <v>266605</v>
      </c>
      <c r="H219" s="113">
        <f t="shared" si="62"/>
        <v>259272</v>
      </c>
      <c r="I219" s="113">
        <f t="shared" si="62"/>
        <v>264641</v>
      </c>
      <c r="J219" s="113">
        <f t="shared" si="62"/>
        <v>264197</v>
      </c>
      <c r="K219" s="113">
        <f t="shared" si="62"/>
        <v>0</v>
      </c>
      <c r="L219" s="113">
        <f t="shared" si="62"/>
        <v>0</v>
      </c>
      <c r="M219" s="113">
        <f t="shared" si="62"/>
        <v>63320</v>
      </c>
      <c r="N219" s="113">
        <f t="shared" si="62"/>
        <v>62991</v>
      </c>
      <c r="O219" s="113">
        <f t="shared" si="62"/>
        <v>6330.2</v>
      </c>
      <c r="P219" s="113">
        <f t="shared" si="62"/>
        <v>6188.2</v>
      </c>
      <c r="Q219" s="113">
        <f t="shared" si="62"/>
        <v>31369.899999999998</v>
      </c>
      <c r="R219" s="113">
        <f t="shared" si="62"/>
        <v>31040.899999999998</v>
      </c>
      <c r="S219" s="113">
        <f t="shared" si="62"/>
        <v>61021</v>
      </c>
      <c r="T219" s="113">
        <f t="shared" si="62"/>
        <v>60709</v>
      </c>
      <c r="U219" s="113">
        <f t="shared" si="62"/>
        <v>144554</v>
      </c>
      <c r="V219" s="113">
        <f t="shared" si="62"/>
        <v>144242</v>
      </c>
      <c r="W219" s="113">
        <f t="shared" si="62"/>
        <v>112777</v>
      </c>
      <c r="X219" s="113">
        <f t="shared" si="62"/>
        <v>112645</v>
      </c>
      <c r="Y219" s="113">
        <f t="shared" si="62"/>
        <v>3500</v>
      </c>
      <c r="Z219" s="113">
        <f t="shared" si="62"/>
        <v>0</v>
      </c>
      <c r="AA219" s="110"/>
      <c r="AB219" s="110"/>
      <c r="AC219" s="335"/>
      <c r="AD219" s="355"/>
      <c r="AE219" s="335"/>
      <c r="AF219" s="356"/>
    </row>
    <row r="220" spans="1:32" s="289" customFormat="1" ht="19.5">
      <c r="A220" s="307" t="s">
        <v>46</v>
      </c>
      <c r="B220" s="308" t="s">
        <v>18</v>
      </c>
      <c r="C220" s="313"/>
      <c r="D220" s="327"/>
      <c r="E220" s="318"/>
      <c r="F220" s="331"/>
      <c r="G220" s="114">
        <f>G221</f>
        <v>215117</v>
      </c>
      <c r="H220" s="114">
        <f t="shared" ref="H220:Z220" si="63">H221</f>
        <v>215117</v>
      </c>
      <c r="I220" s="114">
        <f t="shared" si="63"/>
        <v>221705</v>
      </c>
      <c r="J220" s="114">
        <f t="shared" si="63"/>
        <v>221705</v>
      </c>
      <c r="K220" s="114">
        <f t="shared" si="63"/>
        <v>0</v>
      </c>
      <c r="L220" s="114">
        <f t="shared" si="63"/>
        <v>0</v>
      </c>
      <c r="M220" s="114">
        <f t="shared" si="63"/>
        <v>44228</v>
      </c>
      <c r="N220" s="114">
        <f t="shared" si="63"/>
        <v>44228</v>
      </c>
      <c r="O220" s="114">
        <f t="shared" si="63"/>
        <v>796</v>
      </c>
      <c r="P220" s="114">
        <f t="shared" si="63"/>
        <v>796</v>
      </c>
      <c r="Q220" s="114">
        <f t="shared" si="63"/>
        <v>20755.899999999998</v>
      </c>
      <c r="R220" s="114">
        <f t="shared" si="63"/>
        <v>20755.899999999998</v>
      </c>
      <c r="S220" s="114">
        <f t="shared" si="63"/>
        <v>44228</v>
      </c>
      <c r="T220" s="114">
        <f t="shared" si="63"/>
        <v>44228</v>
      </c>
      <c r="U220" s="114">
        <f t="shared" si="63"/>
        <v>121839</v>
      </c>
      <c r="V220" s="114">
        <f t="shared" si="63"/>
        <v>121839</v>
      </c>
      <c r="W220" s="114">
        <f t="shared" si="63"/>
        <v>88000</v>
      </c>
      <c r="X220" s="114">
        <f t="shared" si="63"/>
        <v>88000</v>
      </c>
      <c r="Y220" s="114">
        <f t="shared" si="63"/>
        <v>0</v>
      </c>
      <c r="Z220" s="114">
        <f t="shared" si="63"/>
        <v>0</v>
      </c>
      <c r="AA220" s="110"/>
      <c r="AB220" s="110"/>
      <c r="AC220" s="335"/>
      <c r="AD220" s="355"/>
      <c r="AE220" s="335"/>
      <c r="AF220" s="356"/>
    </row>
    <row r="221" spans="1:32" s="289" customFormat="1" ht="99.75" customHeight="1">
      <c r="A221" s="303"/>
      <c r="B221" s="312" t="s">
        <v>510</v>
      </c>
      <c r="C221" s="313" t="s">
        <v>250</v>
      </c>
      <c r="D221" s="313" t="s">
        <v>511</v>
      </c>
      <c r="E221" s="313" t="s">
        <v>512</v>
      </c>
      <c r="F221" s="313" t="s">
        <v>513</v>
      </c>
      <c r="G221" s="106">
        <v>215117</v>
      </c>
      <c r="H221" s="106">
        <v>215117</v>
      </c>
      <c r="I221" s="106">
        <v>221705</v>
      </c>
      <c r="J221" s="106">
        <v>221705</v>
      </c>
      <c r="K221" s="106">
        <v>0</v>
      </c>
      <c r="L221" s="106">
        <v>0</v>
      </c>
      <c r="M221" s="106">
        <v>44228</v>
      </c>
      <c r="N221" s="106">
        <v>44228</v>
      </c>
      <c r="O221" s="106">
        <v>796</v>
      </c>
      <c r="P221" s="106">
        <v>796</v>
      </c>
      <c r="Q221" s="106">
        <v>20755.899999999998</v>
      </c>
      <c r="R221" s="106">
        <v>20755.899999999998</v>
      </c>
      <c r="S221" s="106">
        <v>44228</v>
      </c>
      <c r="T221" s="106">
        <v>44228</v>
      </c>
      <c r="U221" s="106">
        <f>77611+44228</f>
        <v>121839</v>
      </c>
      <c r="V221" s="106">
        <f>77611+44228</f>
        <v>121839</v>
      </c>
      <c r="W221" s="106">
        <v>88000</v>
      </c>
      <c r="X221" s="106">
        <v>88000</v>
      </c>
      <c r="Y221" s="106">
        <v>0</v>
      </c>
      <c r="Z221" s="106">
        <v>0</v>
      </c>
      <c r="AA221" s="313" t="s">
        <v>514</v>
      </c>
      <c r="AB221" s="314" t="s">
        <v>593</v>
      </c>
      <c r="AC221" s="335"/>
      <c r="AD221" s="355"/>
      <c r="AE221" s="335"/>
      <c r="AF221" s="356"/>
    </row>
    <row r="222" spans="1:32" s="289" customFormat="1" ht="19.5">
      <c r="A222" s="307" t="s">
        <v>19</v>
      </c>
      <c r="B222" s="308" t="s">
        <v>20</v>
      </c>
      <c r="C222" s="313"/>
      <c r="D222" s="327"/>
      <c r="E222" s="318"/>
      <c r="F222" s="331"/>
      <c r="G222" s="114">
        <f>SUM(G223:G231)</f>
        <v>51488</v>
      </c>
      <c r="H222" s="114">
        <f t="shared" ref="H222:Z222" si="64">SUM(H223:H231)</f>
        <v>44155</v>
      </c>
      <c r="I222" s="114">
        <f t="shared" si="64"/>
        <v>42936</v>
      </c>
      <c r="J222" s="114">
        <f t="shared" si="64"/>
        <v>42492</v>
      </c>
      <c r="K222" s="114">
        <f t="shared" si="64"/>
        <v>0</v>
      </c>
      <c r="L222" s="114">
        <f t="shared" si="64"/>
        <v>0</v>
      </c>
      <c r="M222" s="114">
        <f t="shared" si="64"/>
        <v>19092</v>
      </c>
      <c r="N222" s="114">
        <f t="shared" si="64"/>
        <v>18763</v>
      </c>
      <c r="O222" s="114">
        <f t="shared" si="64"/>
        <v>5534.2</v>
      </c>
      <c r="P222" s="114">
        <f t="shared" si="64"/>
        <v>5392.2</v>
      </c>
      <c r="Q222" s="114">
        <f t="shared" si="64"/>
        <v>10614</v>
      </c>
      <c r="R222" s="114">
        <f t="shared" si="64"/>
        <v>10285</v>
      </c>
      <c r="S222" s="114">
        <f t="shared" si="64"/>
        <v>16793</v>
      </c>
      <c r="T222" s="114">
        <f t="shared" si="64"/>
        <v>16481</v>
      </c>
      <c r="U222" s="114">
        <f t="shared" si="64"/>
        <v>22715</v>
      </c>
      <c r="V222" s="114">
        <f t="shared" si="64"/>
        <v>22403</v>
      </c>
      <c r="W222" s="114">
        <f t="shared" si="64"/>
        <v>24777</v>
      </c>
      <c r="X222" s="114">
        <f t="shared" si="64"/>
        <v>24645</v>
      </c>
      <c r="Y222" s="114">
        <f t="shared" si="64"/>
        <v>3500</v>
      </c>
      <c r="Z222" s="114">
        <f t="shared" si="64"/>
        <v>0</v>
      </c>
      <c r="AA222" s="110"/>
      <c r="AB222" s="110"/>
      <c r="AC222" s="335"/>
      <c r="AD222" s="355"/>
      <c r="AE222" s="335"/>
      <c r="AF222" s="356"/>
    </row>
    <row r="223" spans="1:32" s="289" customFormat="1" ht="93.75">
      <c r="A223" s="311" t="s">
        <v>13</v>
      </c>
      <c r="B223" s="312" t="s">
        <v>515</v>
      </c>
      <c r="C223" s="313" t="s">
        <v>283</v>
      </c>
      <c r="D223" s="313" t="s">
        <v>516</v>
      </c>
      <c r="E223" s="313" t="s">
        <v>469</v>
      </c>
      <c r="F223" s="313" t="s">
        <v>517</v>
      </c>
      <c r="G223" s="106">
        <f>H223</f>
        <v>7732</v>
      </c>
      <c r="H223" s="106">
        <v>7732</v>
      </c>
      <c r="I223" s="106">
        <f>J223</f>
        <v>8956</v>
      </c>
      <c r="J223" s="106">
        <v>8956</v>
      </c>
      <c r="K223" s="106"/>
      <c r="L223" s="106"/>
      <c r="M223" s="106">
        <f>N223</f>
        <v>3500</v>
      </c>
      <c r="N223" s="106">
        <v>3500</v>
      </c>
      <c r="O223" s="106">
        <f>P223</f>
        <v>415.2</v>
      </c>
      <c r="P223" s="106">
        <v>415.2</v>
      </c>
      <c r="Q223" s="106"/>
      <c r="R223" s="106"/>
      <c r="S223" s="106"/>
      <c r="T223" s="106"/>
      <c r="U223" s="106">
        <f>V223</f>
        <v>3500</v>
      </c>
      <c r="V223" s="106">
        <v>3500</v>
      </c>
      <c r="W223" s="106">
        <f>X223</f>
        <v>7732</v>
      </c>
      <c r="X223" s="106">
        <f>H223</f>
        <v>7732</v>
      </c>
      <c r="Y223" s="106">
        <v>3500</v>
      </c>
      <c r="Z223" s="106"/>
      <c r="AA223" s="313" t="s">
        <v>518</v>
      </c>
      <c r="AB223" s="314" t="s">
        <v>593</v>
      </c>
      <c r="AC223" s="335"/>
      <c r="AD223" s="355"/>
      <c r="AE223" s="335"/>
      <c r="AF223" s="356"/>
    </row>
    <row r="224" spans="1:32" s="289" customFormat="1" ht="59.25" customHeight="1">
      <c r="A224" s="336">
        <v>2</v>
      </c>
      <c r="B224" s="312" t="s">
        <v>359</v>
      </c>
      <c r="C224" s="313" t="s">
        <v>361</v>
      </c>
      <c r="D224" s="313" t="s">
        <v>362</v>
      </c>
      <c r="E224" s="318" t="s">
        <v>252</v>
      </c>
      <c r="F224" s="353" t="s">
        <v>363</v>
      </c>
      <c r="G224" s="97">
        <v>2563</v>
      </c>
      <c r="H224" s="99">
        <v>2113</v>
      </c>
      <c r="I224" s="110">
        <f>2112+444</f>
        <v>2556</v>
      </c>
      <c r="J224" s="110">
        <v>2112</v>
      </c>
      <c r="K224" s="110"/>
      <c r="L224" s="110"/>
      <c r="M224" s="110"/>
      <c r="N224" s="110"/>
      <c r="O224" s="119"/>
      <c r="P224" s="110"/>
      <c r="Q224" s="110"/>
      <c r="R224" s="110"/>
      <c r="S224" s="110">
        <v>2425</v>
      </c>
      <c r="T224" s="110">
        <v>2113</v>
      </c>
      <c r="U224" s="110">
        <v>2425</v>
      </c>
      <c r="V224" s="110">
        <v>2113</v>
      </c>
      <c r="W224" s="110">
        <v>132</v>
      </c>
      <c r="X224" s="110"/>
      <c r="Y224" s="110"/>
      <c r="Z224" s="110"/>
      <c r="AA224" s="110"/>
      <c r="AB224" s="314" t="s">
        <v>597</v>
      </c>
      <c r="AC224" s="335"/>
      <c r="AD224" s="355"/>
      <c r="AE224" s="335"/>
      <c r="AF224" s="356"/>
    </row>
    <row r="225" spans="1:32" s="289" customFormat="1" ht="70.5" customHeight="1">
      <c r="A225" s="336">
        <v>3</v>
      </c>
      <c r="B225" s="387" t="s">
        <v>360</v>
      </c>
      <c r="C225" s="313" t="s">
        <v>364</v>
      </c>
      <c r="D225" s="313" t="s">
        <v>365</v>
      </c>
      <c r="E225" s="318" t="s">
        <v>230</v>
      </c>
      <c r="F225" s="353" t="s">
        <v>366</v>
      </c>
      <c r="G225" s="97">
        <v>8268</v>
      </c>
      <c r="H225" s="97">
        <v>8268</v>
      </c>
      <c r="I225" s="388">
        <v>8267</v>
      </c>
      <c r="J225" s="388">
        <v>8267</v>
      </c>
      <c r="K225" s="110"/>
      <c r="L225" s="110"/>
      <c r="M225" s="110">
        <v>400</v>
      </c>
      <c r="N225" s="110">
        <v>400</v>
      </c>
      <c r="O225" s="119"/>
      <c r="P225" s="110"/>
      <c r="Q225" s="110">
        <v>400</v>
      </c>
      <c r="R225" s="110">
        <v>400</v>
      </c>
      <c r="S225" s="110">
        <v>2557</v>
      </c>
      <c r="T225" s="110">
        <v>2557</v>
      </c>
      <c r="U225" s="110">
        <v>2557</v>
      </c>
      <c r="V225" s="110">
        <v>2557</v>
      </c>
      <c r="W225" s="110">
        <v>5710</v>
      </c>
      <c r="X225" s="110">
        <v>5710</v>
      </c>
      <c r="Y225" s="110"/>
      <c r="Z225" s="110"/>
      <c r="AA225" s="110"/>
      <c r="AB225" s="314" t="s">
        <v>597</v>
      </c>
      <c r="AC225" s="335"/>
      <c r="AD225" s="355"/>
      <c r="AE225" s="335"/>
      <c r="AF225" s="356"/>
    </row>
    <row r="226" spans="1:32" s="289" customFormat="1" ht="70.5" customHeight="1">
      <c r="A226" s="339">
        <v>4</v>
      </c>
      <c r="B226" s="340" t="s">
        <v>708</v>
      </c>
      <c r="C226" s="331" t="s">
        <v>709</v>
      </c>
      <c r="D226" s="341" t="s">
        <v>710</v>
      </c>
      <c r="E226" s="331" t="s">
        <v>312</v>
      </c>
      <c r="F226" s="123" t="s">
        <v>711</v>
      </c>
      <c r="G226" s="342">
        <v>8052</v>
      </c>
      <c r="H226" s="342">
        <v>8052</v>
      </c>
      <c r="I226" s="342">
        <v>8347</v>
      </c>
      <c r="J226" s="342">
        <v>8347</v>
      </c>
      <c r="K226" s="342"/>
      <c r="L226" s="342"/>
      <c r="M226" s="342">
        <v>8052</v>
      </c>
      <c r="N226" s="342">
        <v>8052</v>
      </c>
      <c r="O226" s="342">
        <f>+P226</f>
        <v>1814</v>
      </c>
      <c r="P226" s="342">
        <v>1814</v>
      </c>
      <c r="Q226" s="342">
        <f>R226</f>
        <v>4386</v>
      </c>
      <c r="R226" s="342">
        <f>2730+1656</f>
        <v>4386</v>
      </c>
      <c r="S226" s="342">
        <v>5000</v>
      </c>
      <c r="T226" s="342">
        <v>5000</v>
      </c>
      <c r="U226" s="342">
        <v>8052</v>
      </c>
      <c r="V226" s="342">
        <v>8052</v>
      </c>
      <c r="W226" s="342">
        <v>0</v>
      </c>
      <c r="X226" s="342">
        <v>0</v>
      </c>
      <c r="Y226" s="342"/>
      <c r="Z226" s="342"/>
      <c r="AA226" s="342"/>
      <c r="AB226" s="314" t="s">
        <v>684</v>
      </c>
      <c r="AC226" s="335"/>
      <c r="AD226" s="355"/>
      <c r="AE226" s="335"/>
      <c r="AF226" s="356"/>
    </row>
    <row r="227" spans="1:32" s="289" customFormat="1" ht="70.5" customHeight="1">
      <c r="A227" s="339">
        <v>5</v>
      </c>
      <c r="B227" s="375" t="s">
        <v>712</v>
      </c>
      <c r="C227" s="331" t="s">
        <v>678</v>
      </c>
      <c r="D227" s="321" t="s">
        <v>713</v>
      </c>
      <c r="E227" s="341" t="s">
        <v>257</v>
      </c>
      <c r="F227" s="321" t="s">
        <v>714</v>
      </c>
      <c r="G227" s="342">
        <v>5528</v>
      </c>
      <c r="H227" s="342">
        <v>3999</v>
      </c>
      <c r="I227" s="342">
        <f>J227</f>
        <v>3999</v>
      </c>
      <c r="J227" s="342">
        <v>3999</v>
      </c>
      <c r="K227" s="342"/>
      <c r="L227" s="342"/>
      <c r="M227" s="342">
        <f>N227+329</f>
        <v>4328</v>
      </c>
      <c r="N227" s="342">
        <v>3999</v>
      </c>
      <c r="O227" s="342">
        <f>142+P227</f>
        <v>2478</v>
      </c>
      <c r="P227" s="342">
        <v>2336</v>
      </c>
      <c r="Q227" s="342">
        <f>+R227+329</f>
        <v>4328</v>
      </c>
      <c r="R227" s="342">
        <v>3999</v>
      </c>
      <c r="S227" s="342">
        <f>T227</f>
        <v>3999</v>
      </c>
      <c r="T227" s="342">
        <f>R227</f>
        <v>3999</v>
      </c>
      <c r="U227" s="342">
        <f>V227</f>
        <v>3999</v>
      </c>
      <c r="V227" s="342">
        <v>3999</v>
      </c>
      <c r="W227" s="342"/>
      <c r="X227" s="342"/>
      <c r="Y227" s="342"/>
      <c r="Z227" s="342"/>
      <c r="AA227" s="342"/>
      <c r="AB227" s="314" t="s">
        <v>684</v>
      </c>
      <c r="AC227" s="335"/>
      <c r="AD227" s="355"/>
      <c r="AE227" s="335"/>
      <c r="AF227" s="356"/>
    </row>
    <row r="228" spans="1:32" s="289" customFormat="1" ht="70.5" customHeight="1">
      <c r="A228" s="339">
        <v>6</v>
      </c>
      <c r="B228" s="375" t="s">
        <v>807</v>
      </c>
      <c r="C228" s="331" t="s">
        <v>210</v>
      </c>
      <c r="D228" s="321" t="s">
        <v>808</v>
      </c>
      <c r="E228" s="341" t="s">
        <v>230</v>
      </c>
      <c r="F228" s="321" t="s">
        <v>809</v>
      </c>
      <c r="G228" s="342">
        <v>5627</v>
      </c>
      <c r="H228" s="342">
        <v>4000</v>
      </c>
      <c r="I228" s="342">
        <v>4000</v>
      </c>
      <c r="J228" s="342">
        <v>4000</v>
      </c>
      <c r="K228" s="342">
        <v>0</v>
      </c>
      <c r="L228" s="342">
        <v>0</v>
      </c>
      <c r="M228" s="342">
        <v>0</v>
      </c>
      <c r="N228" s="342">
        <v>0</v>
      </c>
      <c r="O228" s="342">
        <v>0</v>
      </c>
      <c r="P228" s="342">
        <v>0</v>
      </c>
      <c r="Q228" s="342">
        <v>0</v>
      </c>
      <c r="R228" s="342">
        <v>0</v>
      </c>
      <c r="S228" s="342">
        <v>0</v>
      </c>
      <c r="T228" s="342">
        <v>0</v>
      </c>
      <c r="U228" s="342">
        <v>0</v>
      </c>
      <c r="V228" s="342">
        <v>0</v>
      </c>
      <c r="W228" s="342">
        <v>4000</v>
      </c>
      <c r="X228" s="342">
        <v>4000</v>
      </c>
      <c r="Y228" s="342">
        <v>0</v>
      </c>
      <c r="Z228" s="342">
        <v>0</v>
      </c>
      <c r="AA228" s="342"/>
      <c r="AB228" s="314" t="s">
        <v>761</v>
      </c>
      <c r="AC228" s="335"/>
      <c r="AD228" s="355"/>
      <c r="AE228" s="335"/>
      <c r="AF228" s="356"/>
    </row>
    <row r="229" spans="1:32" s="289" customFormat="1" ht="70.5" customHeight="1">
      <c r="A229" s="339">
        <v>7</v>
      </c>
      <c r="B229" s="375" t="s">
        <v>1047</v>
      </c>
      <c r="C229" s="331" t="s">
        <v>1012</v>
      </c>
      <c r="D229" s="321" t="s">
        <v>1048</v>
      </c>
      <c r="E229" s="341" t="s">
        <v>312</v>
      </c>
      <c r="F229" s="321" t="s">
        <v>1049</v>
      </c>
      <c r="G229" s="342">
        <v>5661</v>
      </c>
      <c r="H229" s="342">
        <v>3975</v>
      </c>
      <c r="I229" s="342">
        <v>3999</v>
      </c>
      <c r="J229" s="342">
        <v>3999</v>
      </c>
      <c r="K229" s="342"/>
      <c r="L229" s="342"/>
      <c r="M229" s="342">
        <v>0</v>
      </c>
      <c r="N229" s="342"/>
      <c r="O229" s="342">
        <v>0</v>
      </c>
      <c r="P229" s="342"/>
      <c r="Q229" s="342">
        <v>0</v>
      </c>
      <c r="R229" s="342"/>
      <c r="S229" s="342">
        <v>0</v>
      </c>
      <c r="T229" s="342"/>
      <c r="U229" s="342">
        <v>0</v>
      </c>
      <c r="V229" s="342"/>
      <c r="W229" s="342">
        <v>3999</v>
      </c>
      <c r="X229" s="342">
        <v>3999</v>
      </c>
      <c r="Y229" s="342"/>
      <c r="Z229" s="342"/>
      <c r="AA229" s="342"/>
      <c r="AB229" s="314" t="s">
        <v>1002</v>
      </c>
      <c r="AC229" s="335"/>
      <c r="AD229" s="355"/>
      <c r="AE229" s="335"/>
      <c r="AF229" s="356"/>
    </row>
    <row r="230" spans="1:32" s="289" customFormat="1" ht="70.5" customHeight="1">
      <c r="A230" s="339">
        <v>8</v>
      </c>
      <c r="B230" s="375" t="s">
        <v>1282</v>
      </c>
      <c r="C230" s="331" t="s">
        <v>396</v>
      </c>
      <c r="D230" s="321" t="s">
        <v>1280</v>
      </c>
      <c r="E230" s="341" t="s">
        <v>230</v>
      </c>
      <c r="F230" s="321" t="s">
        <v>1281</v>
      </c>
      <c r="G230" s="342">
        <v>4057</v>
      </c>
      <c r="H230" s="342">
        <v>2812</v>
      </c>
      <c r="I230" s="342">
        <v>2812</v>
      </c>
      <c r="J230" s="342">
        <v>2812</v>
      </c>
      <c r="K230" s="342"/>
      <c r="L230" s="342"/>
      <c r="M230" s="342">
        <v>2812</v>
      </c>
      <c r="N230" s="342">
        <v>2812</v>
      </c>
      <c r="O230" s="342">
        <v>827</v>
      </c>
      <c r="P230" s="342">
        <v>827</v>
      </c>
      <c r="Q230" s="342">
        <v>1500</v>
      </c>
      <c r="R230" s="342">
        <v>1500</v>
      </c>
      <c r="S230" s="342">
        <v>2812</v>
      </c>
      <c r="T230" s="342">
        <v>2812</v>
      </c>
      <c r="U230" s="342">
        <v>2182</v>
      </c>
      <c r="V230" s="342">
        <v>2182</v>
      </c>
      <c r="W230" s="342">
        <v>0</v>
      </c>
      <c r="X230" s="342"/>
      <c r="Y230" s="342"/>
      <c r="Z230" s="342"/>
      <c r="AA230" s="342"/>
      <c r="AB230" s="314" t="s">
        <v>1228</v>
      </c>
      <c r="AC230" s="335"/>
      <c r="AD230" s="355"/>
      <c r="AE230" s="335"/>
      <c r="AF230" s="356"/>
    </row>
    <row r="231" spans="1:32" s="289" customFormat="1" ht="70.5" customHeight="1">
      <c r="A231" s="339">
        <v>9</v>
      </c>
      <c r="B231" s="375" t="s">
        <v>1283</v>
      </c>
      <c r="C231" s="331" t="s">
        <v>396</v>
      </c>
      <c r="D231" s="321"/>
      <c r="E231" s="341"/>
      <c r="F231" s="321"/>
      <c r="G231" s="342">
        <v>4000</v>
      </c>
      <c r="H231" s="342">
        <v>3204</v>
      </c>
      <c r="I231" s="342"/>
      <c r="J231" s="342"/>
      <c r="K231" s="342"/>
      <c r="L231" s="342"/>
      <c r="M231" s="342"/>
      <c r="N231" s="342"/>
      <c r="O231" s="342"/>
      <c r="P231" s="342"/>
      <c r="Q231" s="342"/>
      <c r="R231" s="342"/>
      <c r="S231" s="342"/>
      <c r="T231" s="342"/>
      <c r="U231" s="342">
        <v>0</v>
      </c>
      <c r="V231" s="342"/>
      <c r="W231" s="342">
        <v>3204</v>
      </c>
      <c r="X231" s="342">
        <v>3204</v>
      </c>
      <c r="Y231" s="342"/>
      <c r="Z231" s="342"/>
      <c r="AA231" s="342"/>
      <c r="AB231" s="314" t="s">
        <v>1228</v>
      </c>
      <c r="AC231" s="335"/>
      <c r="AD231" s="355"/>
      <c r="AE231" s="335"/>
      <c r="AF231" s="356"/>
    </row>
    <row r="232" spans="1:32" s="289" customFormat="1" ht="36.75" customHeight="1">
      <c r="A232" s="303" t="s">
        <v>24</v>
      </c>
      <c r="B232" s="304" t="s">
        <v>115</v>
      </c>
      <c r="C232" s="313"/>
      <c r="D232" s="313"/>
      <c r="E232" s="318"/>
      <c r="F232" s="353"/>
      <c r="G232" s="389">
        <f>G233</f>
        <v>14931</v>
      </c>
      <c r="H232" s="389">
        <f t="shared" ref="H232:Z232" si="65">H233</f>
        <v>13675</v>
      </c>
      <c r="I232" s="389">
        <f t="shared" si="65"/>
        <v>10598</v>
      </c>
      <c r="J232" s="389">
        <f t="shared" si="65"/>
        <v>10598</v>
      </c>
      <c r="K232" s="389">
        <f t="shared" si="65"/>
        <v>0</v>
      </c>
      <c r="L232" s="389">
        <f t="shared" si="65"/>
        <v>0</v>
      </c>
      <c r="M232" s="389">
        <f t="shared" si="65"/>
        <v>400</v>
      </c>
      <c r="N232" s="389">
        <f t="shared" si="65"/>
        <v>400</v>
      </c>
      <c r="O232" s="389">
        <f t="shared" si="65"/>
        <v>0</v>
      </c>
      <c r="P232" s="389">
        <f t="shared" si="65"/>
        <v>0</v>
      </c>
      <c r="Q232" s="389">
        <f t="shared" si="65"/>
        <v>0</v>
      </c>
      <c r="R232" s="389">
        <f t="shared" si="65"/>
        <v>0</v>
      </c>
      <c r="S232" s="389">
        <f t="shared" si="65"/>
        <v>0</v>
      </c>
      <c r="T232" s="389">
        <f t="shared" si="65"/>
        <v>0</v>
      </c>
      <c r="U232" s="389">
        <f t="shared" si="65"/>
        <v>0</v>
      </c>
      <c r="V232" s="389">
        <f t="shared" si="65"/>
        <v>0</v>
      </c>
      <c r="W232" s="389">
        <f t="shared" si="65"/>
        <v>27198</v>
      </c>
      <c r="X232" s="389">
        <f t="shared" si="65"/>
        <v>27198</v>
      </c>
      <c r="Y232" s="389">
        <f t="shared" si="65"/>
        <v>0</v>
      </c>
      <c r="Z232" s="389">
        <f t="shared" si="65"/>
        <v>0</v>
      </c>
      <c r="AA232" s="110"/>
      <c r="AB232" s="110"/>
      <c r="AC232" s="335"/>
      <c r="AD232" s="355"/>
      <c r="AE232" s="335"/>
      <c r="AF232" s="356"/>
    </row>
    <row r="233" spans="1:32" s="289" customFormat="1" ht="19.5">
      <c r="A233" s="307" t="s">
        <v>19</v>
      </c>
      <c r="B233" s="308" t="s">
        <v>20</v>
      </c>
      <c r="C233" s="313"/>
      <c r="D233" s="313"/>
      <c r="E233" s="318"/>
      <c r="F233" s="353"/>
      <c r="G233" s="365">
        <f>SUM(G234:G236)</f>
        <v>14931</v>
      </c>
      <c r="H233" s="365">
        <f t="shared" ref="H233:Z233" si="66">SUM(H234:H236)</f>
        <v>13675</v>
      </c>
      <c r="I233" s="365">
        <f t="shared" si="66"/>
        <v>10598</v>
      </c>
      <c r="J233" s="365">
        <f t="shared" si="66"/>
        <v>10598</v>
      </c>
      <c r="K233" s="365">
        <f t="shared" si="66"/>
        <v>0</v>
      </c>
      <c r="L233" s="365">
        <f t="shared" si="66"/>
        <v>0</v>
      </c>
      <c r="M233" s="365">
        <f t="shared" si="66"/>
        <v>400</v>
      </c>
      <c r="N233" s="365">
        <f t="shared" si="66"/>
        <v>400</v>
      </c>
      <c r="O233" s="365">
        <f t="shared" si="66"/>
        <v>0</v>
      </c>
      <c r="P233" s="365">
        <f t="shared" si="66"/>
        <v>0</v>
      </c>
      <c r="Q233" s="365">
        <f t="shared" si="66"/>
        <v>0</v>
      </c>
      <c r="R233" s="365">
        <f t="shared" si="66"/>
        <v>0</v>
      </c>
      <c r="S233" s="365">
        <f t="shared" si="66"/>
        <v>0</v>
      </c>
      <c r="T233" s="365">
        <f t="shared" si="66"/>
        <v>0</v>
      </c>
      <c r="U233" s="365">
        <f t="shared" si="66"/>
        <v>0</v>
      </c>
      <c r="V233" s="365">
        <f t="shared" si="66"/>
        <v>0</v>
      </c>
      <c r="W233" s="365">
        <f t="shared" si="66"/>
        <v>27198</v>
      </c>
      <c r="X233" s="365">
        <f t="shared" si="66"/>
        <v>27198</v>
      </c>
      <c r="Y233" s="365">
        <f t="shared" si="66"/>
        <v>0</v>
      </c>
      <c r="Z233" s="365">
        <f t="shared" si="66"/>
        <v>0</v>
      </c>
      <c r="AA233" s="110"/>
      <c r="AB233" s="110"/>
      <c r="AC233" s="335"/>
      <c r="AD233" s="355"/>
      <c r="AE233" s="335"/>
      <c r="AF233" s="356"/>
    </row>
    <row r="234" spans="1:32" s="289" customFormat="1" ht="70.5" customHeight="1">
      <c r="A234" s="336">
        <v>1</v>
      </c>
      <c r="B234" s="312" t="s">
        <v>519</v>
      </c>
      <c r="C234" s="313" t="s">
        <v>520</v>
      </c>
      <c r="D234" s="313" t="s">
        <v>521</v>
      </c>
      <c r="E234" s="313" t="s">
        <v>355</v>
      </c>
      <c r="F234" s="313"/>
      <c r="G234" s="106"/>
      <c r="H234" s="106"/>
      <c r="I234" s="106"/>
      <c r="J234" s="106"/>
      <c r="K234" s="106"/>
      <c r="L234" s="106"/>
      <c r="M234" s="106"/>
      <c r="N234" s="106"/>
      <c r="O234" s="106"/>
      <c r="P234" s="106"/>
      <c r="Q234" s="106"/>
      <c r="R234" s="106"/>
      <c r="S234" s="106"/>
      <c r="T234" s="106"/>
      <c r="U234" s="106"/>
      <c r="V234" s="106"/>
      <c r="W234" s="106">
        <v>16000</v>
      </c>
      <c r="X234" s="106">
        <v>16000</v>
      </c>
      <c r="Y234" s="106"/>
      <c r="Z234" s="106"/>
      <c r="AA234" s="313" t="s">
        <v>522</v>
      </c>
      <c r="AB234" s="314" t="s">
        <v>593</v>
      </c>
      <c r="AC234" s="335"/>
      <c r="AD234" s="355"/>
      <c r="AE234" s="335"/>
      <c r="AF234" s="356"/>
    </row>
    <row r="235" spans="1:32" s="289" customFormat="1" ht="70.5" customHeight="1">
      <c r="A235" s="339">
        <v>2</v>
      </c>
      <c r="B235" s="375" t="s">
        <v>715</v>
      </c>
      <c r="C235" s="331" t="s">
        <v>703</v>
      </c>
      <c r="D235" s="331"/>
      <c r="E235" s="331" t="s">
        <v>409</v>
      </c>
      <c r="F235" s="331"/>
      <c r="G235" s="342">
        <v>4333</v>
      </c>
      <c r="H235" s="342">
        <v>3077</v>
      </c>
      <c r="I235" s="342"/>
      <c r="J235" s="342"/>
      <c r="K235" s="342"/>
      <c r="L235" s="342"/>
      <c r="M235" s="342"/>
      <c r="N235" s="342"/>
      <c r="O235" s="342"/>
      <c r="P235" s="342"/>
      <c r="Q235" s="342"/>
      <c r="R235" s="342"/>
      <c r="S235" s="342"/>
      <c r="T235" s="342"/>
      <c r="U235" s="342"/>
      <c r="V235" s="342"/>
      <c r="W235" s="342">
        <v>1000</v>
      </c>
      <c r="X235" s="342">
        <v>1000</v>
      </c>
      <c r="Y235" s="342"/>
      <c r="Z235" s="342"/>
      <c r="AA235" s="342"/>
      <c r="AB235" s="314" t="s">
        <v>684</v>
      </c>
      <c r="AC235" s="335"/>
      <c r="AD235" s="355"/>
      <c r="AE235" s="335"/>
      <c r="AF235" s="356"/>
    </row>
    <row r="236" spans="1:32" s="289" customFormat="1" ht="70.5" customHeight="1">
      <c r="A236" s="339">
        <v>3</v>
      </c>
      <c r="B236" s="375" t="s">
        <v>1095</v>
      </c>
      <c r="C236" s="331" t="s">
        <v>465</v>
      </c>
      <c r="D236" s="331"/>
      <c r="E236" s="331" t="s">
        <v>312</v>
      </c>
      <c r="F236" s="331"/>
      <c r="G236" s="342">
        <v>10598</v>
      </c>
      <c r="H236" s="342">
        <v>10598</v>
      </c>
      <c r="I236" s="342">
        <v>10598</v>
      </c>
      <c r="J236" s="342">
        <v>10598</v>
      </c>
      <c r="K236" s="342"/>
      <c r="L236" s="342"/>
      <c r="M236" s="342">
        <v>400</v>
      </c>
      <c r="N236" s="342">
        <v>400</v>
      </c>
      <c r="O236" s="342"/>
      <c r="P236" s="342"/>
      <c r="Q236" s="342"/>
      <c r="R236" s="342"/>
      <c r="S236" s="342">
        <v>0</v>
      </c>
      <c r="T236" s="342"/>
      <c r="U236" s="342"/>
      <c r="V236" s="342"/>
      <c r="W236" s="342">
        <v>10198</v>
      </c>
      <c r="X236" s="342">
        <v>10198</v>
      </c>
      <c r="Y236" s="342"/>
      <c r="Z236" s="342"/>
      <c r="AA236" s="342"/>
      <c r="AB236" s="314" t="s">
        <v>1079</v>
      </c>
      <c r="AC236" s="335"/>
      <c r="AD236" s="355"/>
      <c r="AE236" s="335"/>
      <c r="AF236" s="356"/>
    </row>
    <row r="237" spans="1:32" s="289" customFormat="1" ht="37.5">
      <c r="A237" s="300" t="s">
        <v>528</v>
      </c>
      <c r="B237" s="301" t="s">
        <v>591</v>
      </c>
      <c r="C237" s="297"/>
      <c r="D237" s="297"/>
      <c r="E237" s="297"/>
      <c r="F237" s="297"/>
      <c r="G237" s="104">
        <f>+G238</f>
        <v>558680</v>
      </c>
      <c r="H237" s="104">
        <f t="shared" ref="H237:Z237" si="67">+H238</f>
        <v>557739.59199999995</v>
      </c>
      <c r="I237" s="104">
        <f t="shared" si="67"/>
        <v>518112</v>
      </c>
      <c r="J237" s="104">
        <f t="shared" si="67"/>
        <v>503098</v>
      </c>
      <c r="K237" s="104">
        <f t="shared" si="67"/>
        <v>0</v>
      </c>
      <c r="L237" s="104">
        <f t="shared" si="67"/>
        <v>0</v>
      </c>
      <c r="M237" s="104">
        <f t="shared" si="67"/>
        <v>172014</v>
      </c>
      <c r="N237" s="104">
        <f t="shared" si="67"/>
        <v>172014</v>
      </c>
      <c r="O237" s="104">
        <f t="shared" si="67"/>
        <v>145073.87320900001</v>
      </c>
      <c r="P237" s="104">
        <f t="shared" si="67"/>
        <v>145073.87320900001</v>
      </c>
      <c r="Q237" s="104">
        <f t="shared" si="67"/>
        <v>162087.87320900001</v>
      </c>
      <c r="R237" s="104">
        <f t="shared" si="67"/>
        <v>162087.87320900001</v>
      </c>
      <c r="S237" s="104">
        <f t="shared" si="67"/>
        <v>166989.87320900001</v>
      </c>
      <c r="T237" s="104">
        <f t="shared" si="67"/>
        <v>166989.87320900001</v>
      </c>
      <c r="U237" s="104">
        <f t="shared" si="67"/>
        <v>284054</v>
      </c>
      <c r="V237" s="104">
        <f t="shared" si="67"/>
        <v>269040</v>
      </c>
      <c r="W237" s="104">
        <f t="shared" si="67"/>
        <v>70140</v>
      </c>
      <c r="X237" s="104">
        <f t="shared" si="67"/>
        <v>70140</v>
      </c>
      <c r="Y237" s="104">
        <f t="shared" si="67"/>
        <v>0</v>
      </c>
      <c r="Z237" s="104">
        <f t="shared" si="67"/>
        <v>0</v>
      </c>
      <c r="AA237" s="297"/>
      <c r="AB237" s="297"/>
      <c r="AC237" s="335"/>
      <c r="AD237" s="355"/>
      <c r="AE237" s="335"/>
      <c r="AF237" s="356"/>
    </row>
    <row r="238" spans="1:32" s="289" customFormat="1" ht="19.5">
      <c r="A238" s="302" t="s">
        <v>43</v>
      </c>
      <c r="B238" s="301" t="s">
        <v>58</v>
      </c>
      <c r="C238" s="297"/>
      <c r="D238" s="297"/>
      <c r="E238" s="297"/>
      <c r="F238" s="297"/>
      <c r="G238" s="104">
        <f t="shared" ref="G238:Z238" si="68">+G239+G242</f>
        <v>558680</v>
      </c>
      <c r="H238" s="104">
        <f t="shared" si="68"/>
        <v>557739.59199999995</v>
      </c>
      <c r="I238" s="104">
        <f t="shared" si="68"/>
        <v>518112</v>
      </c>
      <c r="J238" s="104">
        <f t="shared" si="68"/>
        <v>503098</v>
      </c>
      <c r="K238" s="104">
        <f t="shared" si="68"/>
        <v>0</v>
      </c>
      <c r="L238" s="104">
        <f t="shared" si="68"/>
        <v>0</v>
      </c>
      <c r="M238" s="104">
        <f t="shared" si="68"/>
        <v>172014</v>
      </c>
      <c r="N238" s="104">
        <f t="shared" si="68"/>
        <v>172014</v>
      </c>
      <c r="O238" s="104">
        <f t="shared" si="68"/>
        <v>145073.87320900001</v>
      </c>
      <c r="P238" s="104">
        <f t="shared" si="68"/>
        <v>145073.87320900001</v>
      </c>
      <c r="Q238" s="104">
        <f t="shared" si="68"/>
        <v>162087.87320900001</v>
      </c>
      <c r="R238" s="104">
        <f t="shared" si="68"/>
        <v>162087.87320900001</v>
      </c>
      <c r="S238" s="104">
        <f t="shared" si="68"/>
        <v>166989.87320900001</v>
      </c>
      <c r="T238" s="104">
        <f t="shared" si="68"/>
        <v>166989.87320900001</v>
      </c>
      <c r="U238" s="104">
        <f t="shared" si="68"/>
        <v>284054</v>
      </c>
      <c r="V238" s="104">
        <f t="shared" si="68"/>
        <v>269040</v>
      </c>
      <c r="W238" s="104">
        <f t="shared" si="68"/>
        <v>70140</v>
      </c>
      <c r="X238" s="104">
        <f t="shared" si="68"/>
        <v>70140</v>
      </c>
      <c r="Y238" s="104">
        <f t="shared" si="68"/>
        <v>0</v>
      </c>
      <c r="Z238" s="104">
        <f t="shared" si="68"/>
        <v>0</v>
      </c>
      <c r="AA238" s="297"/>
      <c r="AB238" s="110"/>
      <c r="AC238" s="335"/>
      <c r="AD238" s="355"/>
      <c r="AE238" s="335"/>
      <c r="AF238" s="356"/>
    </row>
    <row r="239" spans="1:32" s="289" customFormat="1" ht="56.25">
      <c r="A239" s="303" t="s">
        <v>39</v>
      </c>
      <c r="B239" s="304" t="s">
        <v>108</v>
      </c>
      <c r="C239" s="305"/>
      <c r="D239" s="305"/>
      <c r="E239" s="305"/>
      <c r="F239" s="305"/>
      <c r="G239" s="104">
        <f>+G240</f>
        <v>138185</v>
      </c>
      <c r="H239" s="104">
        <f t="shared" ref="H239:Z239" si="69">+H240</f>
        <v>138185</v>
      </c>
      <c r="I239" s="104">
        <f t="shared" si="69"/>
        <v>138185</v>
      </c>
      <c r="J239" s="104">
        <f t="shared" si="69"/>
        <v>123171</v>
      </c>
      <c r="K239" s="104">
        <f t="shared" si="69"/>
        <v>0</v>
      </c>
      <c r="L239" s="104">
        <f t="shared" si="69"/>
        <v>0</v>
      </c>
      <c r="M239" s="104">
        <f t="shared" si="69"/>
        <v>15014</v>
      </c>
      <c r="N239" s="104">
        <f t="shared" si="69"/>
        <v>15014</v>
      </c>
      <c r="O239" s="104">
        <f t="shared" si="69"/>
        <v>0</v>
      </c>
      <c r="P239" s="104">
        <f t="shared" si="69"/>
        <v>0</v>
      </c>
      <c r="Q239" s="104">
        <f t="shared" si="69"/>
        <v>15014</v>
      </c>
      <c r="R239" s="104">
        <f t="shared" si="69"/>
        <v>15014</v>
      </c>
      <c r="S239" s="104">
        <f t="shared" si="69"/>
        <v>19916</v>
      </c>
      <c r="T239" s="104">
        <f t="shared" si="69"/>
        <v>19916</v>
      </c>
      <c r="U239" s="104">
        <f t="shared" si="69"/>
        <v>124397</v>
      </c>
      <c r="V239" s="104">
        <f t="shared" si="69"/>
        <v>109383</v>
      </c>
      <c r="W239" s="104">
        <f t="shared" si="69"/>
        <v>0</v>
      </c>
      <c r="X239" s="104">
        <f t="shared" si="69"/>
        <v>0</v>
      </c>
      <c r="Y239" s="104">
        <f t="shared" si="69"/>
        <v>0</v>
      </c>
      <c r="Z239" s="104">
        <f t="shared" si="69"/>
        <v>0</v>
      </c>
      <c r="AA239" s="306"/>
      <c r="AB239" s="110"/>
      <c r="AC239" s="335"/>
      <c r="AD239" s="355"/>
      <c r="AE239" s="335"/>
      <c r="AF239" s="356"/>
    </row>
    <row r="240" spans="1:32" s="289" customFormat="1" ht="19.5">
      <c r="A240" s="307" t="s">
        <v>46</v>
      </c>
      <c r="B240" s="308" t="s">
        <v>18</v>
      </c>
      <c r="C240" s="309"/>
      <c r="D240" s="309"/>
      <c r="E240" s="309"/>
      <c r="F240" s="309"/>
      <c r="G240" s="105">
        <f>+G241</f>
        <v>138185</v>
      </c>
      <c r="H240" s="105">
        <f t="shared" ref="H240:Z240" si="70">+H241</f>
        <v>138185</v>
      </c>
      <c r="I240" s="105">
        <f t="shared" si="70"/>
        <v>138185</v>
      </c>
      <c r="J240" s="105">
        <f t="shared" si="70"/>
        <v>123171</v>
      </c>
      <c r="K240" s="105">
        <f t="shared" si="70"/>
        <v>0</v>
      </c>
      <c r="L240" s="105">
        <f t="shared" si="70"/>
        <v>0</v>
      </c>
      <c r="M240" s="105">
        <f t="shared" si="70"/>
        <v>15014</v>
      </c>
      <c r="N240" s="105">
        <f t="shared" si="70"/>
        <v>15014</v>
      </c>
      <c r="O240" s="105">
        <f t="shared" si="70"/>
        <v>0</v>
      </c>
      <c r="P240" s="105">
        <f t="shared" si="70"/>
        <v>0</v>
      </c>
      <c r="Q240" s="105">
        <f t="shared" si="70"/>
        <v>15014</v>
      </c>
      <c r="R240" s="105">
        <f t="shared" si="70"/>
        <v>15014</v>
      </c>
      <c r="S240" s="105">
        <f t="shared" si="70"/>
        <v>19916</v>
      </c>
      <c r="T240" s="105">
        <f t="shared" si="70"/>
        <v>19916</v>
      </c>
      <c r="U240" s="105">
        <f t="shared" si="70"/>
        <v>124397</v>
      </c>
      <c r="V240" s="105">
        <f t="shared" si="70"/>
        <v>109383</v>
      </c>
      <c r="W240" s="105">
        <f t="shared" si="70"/>
        <v>0</v>
      </c>
      <c r="X240" s="105">
        <f t="shared" si="70"/>
        <v>0</v>
      </c>
      <c r="Y240" s="105">
        <f t="shared" si="70"/>
        <v>0</v>
      </c>
      <c r="Z240" s="105">
        <f t="shared" si="70"/>
        <v>0</v>
      </c>
      <c r="AA240" s="310"/>
      <c r="AB240" s="110"/>
      <c r="AC240" s="335"/>
      <c r="AD240" s="355"/>
      <c r="AE240" s="335"/>
      <c r="AF240" s="356"/>
    </row>
    <row r="241" spans="1:32" s="289" customFormat="1" ht="70.5" customHeight="1">
      <c r="A241" s="311"/>
      <c r="B241" s="312" t="s">
        <v>549</v>
      </c>
      <c r="C241" s="313" t="s">
        <v>250</v>
      </c>
      <c r="D241" s="313" t="s">
        <v>550</v>
      </c>
      <c r="E241" s="313" t="s">
        <v>230</v>
      </c>
      <c r="F241" s="89" t="s">
        <v>551</v>
      </c>
      <c r="G241" s="106">
        <v>138185</v>
      </c>
      <c r="H241" s="106">
        <v>138185</v>
      </c>
      <c r="I241" s="106">
        <v>138185</v>
      </c>
      <c r="J241" s="106">
        <v>123171</v>
      </c>
      <c r="K241" s="106"/>
      <c r="L241" s="106"/>
      <c r="M241" s="106">
        <v>15014</v>
      </c>
      <c r="N241" s="106">
        <v>15014</v>
      </c>
      <c r="O241" s="106">
        <v>0</v>
      </c>
      <c r="P241" s="106">
        <v>0</v>
      </c>
      <c r="Q241" s="106">
        <v>15014</v>
      </c>
      <c r="R241" s="106">
        <v>15014</v>
      </c>
      <c r="S241" s="106">
        <v>19916</v>
      </c>
      <c r="T241" s="106">
        <v>19916</v>
      </c>
      <c r="U241" s="106">
        <v>124397</v>
      </c>
      <c r="V241" s="106">
        <v>109383</v>
      </c>
      <c r="W241" s="106"/>
      <c r="X241" s="106"/>
      <c r="Y241" s="106"/>
      <c r="Z241" s="106"/>
      <c r="AA241" s="313" t="s">
        <v>552</v>
      </c>
      <c r="AB241" s="314" t="s">
        <v>593</v>
      </c>
      <c r="AC241" s="335"/>
      <c r="AD241" s="355"/>
      <c r="AE241" s="335"/>
      <c r="AF241" s="356"/>
    </row>
    <row r="242" spans="1:32" s="289" customFormat="1" ht="37.5">
      <c r="A242" s="303" t="s">
        <v>41</v>
      </c>
      <c r="B242" s="304" t="s">
        <v>109</v>
      </c>
      <c r="C242" s="313"/>
      <c r="D242" s="313"/>
      <c r="E242" s="313"/>
      <c r="F242" s="313"/>
      <c r="G242" s="104">
        <f>+G243+G245</f>
        <v>420495</v>
      </c>
      <c r="H242" s="104">
        <f t="shared" ref="H242:Z242" si="71">+H243+H245</f>
        <v>419554.592</v>
      </c>
      <c r="I242" s="104">
        <f t="shared" si="71"/>
        <v>379927</v>
      </c>
      <c r="J242" s="104">
        <f t="shared" si="71"/>
        <v>379927</v>
      </c>
      <c r="K242" s="104">
        <f t="shared" si="71"/>
        <v>0</v>
      </c>
      <c r="L242" s="104">
        <f t="shared" si="71"/>
        <v>0</v>
      </c>
      <c r="M242" s="104">
        <f t="shared" si="71"/>
        <v>157000</v>
      </c>
      <c r="N242" s="104">
        <f t="shared" si="71"/>
        <v>157000</v>
      </c>
      <c r="O242" s="104">
        <f t="shared" si="71"/>
        <v>145073.87320900001</v>
      </c>
      <c r="P242" s="104">
        <f t="shared" si="71"/>
        <v>145073.87320900001</v>
      </c>
      <c r="Q242" s="104">
        <f t="shared" si="71"/>
        <v>147073.87320900001</v>
      </c>
      <c r="R242" s="104">
        <f t="shared" si="71"/>
        <v>147073.87320900001</v>
      </c>
      <c r="S242" s="104">
        <f t="shared" si="71"/>
        <v>147073.87320900001</v>
      </c>
      <c r="T242" s="104">
        <f t="shared" si="71"/>
        <v>147073.87320900001</v>
      </c>
      <c r="U242" s="104">
        <f t="shared" si="71"/>
        <v>159657</v>
      </c>
      <c r="V242" s="104">
        <f t="shared" si="71"/>
        <v>159657</v>
      </c>
      <c r="W242" s="104">
        <f t="shared" si="71"/>
        <v>70140</v>
      </c>
      <c r="X242" s="104">
        <f t="shared" si="71"/>
        <v>70140</v>
      </c>
      <c r="Y242" s="104">
        <f t="shared" si="71"/>
        <v>0</v>
      </c>
      <c r="Z242" s="104">
        <f t="shared" si="71"/>
        <v>0</v>
      </c>
      <c r="AA242" s="315"/>
      <c r="AB242" s="110"/>
      <c r="AC242" s="335"/>
      <c r="AD242" s="355"/>
      <c r="AE242" s="335"/>
      <c r="AF242" s="356"/>
    </row>
    <row r="243" spans="1:32" s="289" customFormat="1" ht="19.5">
      <c r="A243" s="307" t="s">
        <v>46</v>
      </c>
      <c r="B243" s="308" t="s">
        <v>18</v>
      </c>
      <c r="C243" s="309"/>
      <c r="D243" s="309"/>
      <c r="E243" s="309"/>
      <c r="F243" s="309"/>
      <c r="G243" s="105">
        <f>+G244</f>
        <v>414995</v>
      </c>
      <c r="H243" s="105">
        <f t="shared" ref="H243:Z243" si="72">+H244</f>
        <v>414995</v>
      </c>
      <c r="I243" s="105">
        <f t="shared" si="72"/>
        <v>375367</v>
      </c>
      <c r="J243" s="105">
        <f t="shared" si="72"/>
        <v>375367</v>
      </c>
      <c r="K243" s="105">
        <f t="shared" si="72"/>
        <v>0</v>
      </c>
      <c r="L243" s="105">
        <f t="shared" si="72"/>
        <v>0</v>
      </c>
      <c r="M243" s="105">
        <f t="shared" si="72"/>
        <v>155000</v>
      </c>
      <c r="N243" s="105">
        <f t="shared" si="72"/>
        <v>155000</v>
      </c>
      <c r="O243" s="105">
        <f t="shared" si="72"/>
        <v>145073.87320900001</v>
      </c>
      <c r="P243" s="105">
        <f t="shared" si="72"/>
        <v>145073.87320900001</v>
      </c>
      <c r="Q243" s="105">
        <f t="shared" si="72"/>
        <v>145073.87320900001</v>
      </c>
      <c r="R243" s="105">
        <f t="shared" si="72"/>
        <v>145073.87320900001</v>
      </c>
      <c r="S243" s="105">
        <f t="shared" si="72"/>
        <v>145073.87320900001</v>
      </c>
      <c r="T243" s="105">
        <f t="shared" si="72"/>
        <v>145073.87320900001</v>
      </c>
      <c r="U243" s="105">
        <f t="shared" si="72"/>
        <v>157657</v>
      </c>
      <c r="V243" s="105">
        <f t="shared" si="72"/>
        <v>157657</v>
      </c>
      <c r="W243" s="105">
        <f t="shared" si="72"/>
        <v>67580</v>
      </c>
      <c r="X243" s="105">
        <f t="shared" si="72"/>
        <v>67580</v>
      </c>
      <c r="Y243" s="105">
        <f t="shared" si="72"/>
        <v>0</v>
      </c>
      <c r="Z243" s="105">
        <f t="shared" si="72"/>
        <v>0</v>
      </c>
      <c r="AA243" s="310"/>
      <c r="AB243" s="110"/>
      <c r="AC243" s="335"/>
      <c r="AD243" s="355"/>
      <c r="AE243" s="335"/>
      <c r="AF243" s="356"/>
    </row>
    <row r="244" spans="1:32" s="289" customFormat="1" ht="70.5" customHeight="1">
      <c r="A244" s="311"/>
      <c r="B244" s="312" t="s">
        <v>553</v>
      </c>
      <c r="C244" s="313" t="s">
        <v>250</v>
      </c>
      <c r="D244" s="313" t="s">
        <v>554</v>
      </c>
      <c r="E244" s="313" t="s">
        <v>316</v>
      </c>
      <c r="F244" s="89" t="s">
        <v>555</v>
      </c>
      <c r="G244" s="106">
        <v>414995</v>
      </c>
      <c r="H244" s="106">
        <v>414995</v>
      </c>
      <c r="I244" s="106">
        <v>375367</v>
      </c>
      <c r="J244" s="106">
        <v>375367</v>
      </c>
      <c r="K244" s="106"/>
      <c r="L244" s="106"/>
      <c r="M244" s="106">
        <v>155000</v>
      </c>
      <c r="N244" s="106">
        <v>155000</v>
      </c>
      <c r="O244" s="106">
        <v>145073.87320900001</v>
      </c>
      <c r="P244" s="106">
        <v>145073.87320900001</v>
      </c>
      <c r="Q244" s="106">
        <v>145073.87320900001</v>
      </c>
      <c r="R244" s="106">
        <v>145073.87320900001</v>
      </c>
      <c r="S244" s="106">
        <v>145073.87320900001</v>
      </c>
      <c r="T244" s="106">
        <v>145073.87320900001</v>
      </c>
      <c r="U244" s="106">
        <v>157657</v>
      </c>
      <c r="V244" s="106">
        <v>157657</v>
      </c>
      <c r="W244" s="106">
        <v>67580</v>
      </c>
      <c r="X244" s="106">
        <v>67580</v>
      </c>
      <c r="Y244" s="106"/>
      <c r="Z244" s="106"/>
      <c r="AA244" s="313" t="s">
        <v>556</v>
      </c>
      <c r="AB244" s="314" t="s">
        <v>593</v>
      </c>
      <c r="AC244" s="335"/>
      <c r="AD244" s="355"/>
      <c r="AE244" s="335"/>
      <c r="AF244" s="356"/>
    </row>
    <row r="245" spans="1:32" s="289" customFormat="1" ht="19.5">
      <c r="A245" s="390" t="s">
        <v>19</v>
      </c>
      <c r="B245" s="308" t="s">
        <v>20</v>
      </c>
      <c r="C245" s="327"/>
      <c r="D245" s="327"/>
      <c r="E245" s="327"/>
      <c r="F245" s="321"/>
      <c r="G245" s="102">
        <f>G246</f>
        <v>5500</v>
      </c>
      <c r="H245" s="102">
        <f t="shared" ref="H245:Z245" si="73">H246</f>
        <v>4559.5919999999996</v>
      </c>
      <c r="I245" s="102">
        <f t="shared" si="73"/>
        <v>4560</v>
      </c>
      <c r="J245" s="102">
        <f t="shared" si="73"/>
        <v>4560</v>
      </c>
      <c r="K245" s="102">
        <f t="shared" si="73"/>
        <v>0</v>
      </c>
      <c r="L245" s="102">
        <f t="shared" si="73"/>
        <v>0</v>
      </c>
      <c r="M245" s="102">
        <f t="shared" si="73"/>
        <v>2000</v>
      </c>
      <c r="N245" s="102">
        <f t="shared" si="73"/>
        <v>2000</v>
      </c>
      <c r="O245" s="102">
        <f t="shared" si="73"/>
        <v>0</v>
      </c>
      <c r="P245" s="102">
        <f t="shared" si="73"/>
        <v>0</v>
      </c>
      <c r="Q245" s="102">
        <f t="shared" si="73"/>
        <v>2000</v>
      </c>
      <c r="R245" s="102">
        <f t="shared" si="73"/>
        <v>2000</v>
      </c>
      <c r="S245" s="102">
        <f t="shared" si="73"/>
        <v>2000</v>
      </c>
      <c r="T245" s="102">
        <f t="shared" si="73"/>
        <v>2000</v>
      </c>
      <c r="U245" s="102">
        <f t="shared" si="73"/>
        <v>2000</v>
      </c>
      <c r="V245" s="102">
        <f t="shared" si="73"/>
        <v>2000</v>
      </c>
      <c r="W245" s="102">
        <f t="shared" si="73"/>
        <v>2560</v>
      </c>
      <c r="X245" s="102">
        <f t="shared" si="73"/>
        <v>2560</v>
      </c>
      <c r="Y245" s="102">
        <f t="shared" si="73"/>
        <v>0</v>
      </c>
      <c r="Z245" s="102">
        <f t="shared" si="73"/>
        <v>0</v>
      </c>
      <c r="AA245" s="313"/>
      <c r="AB245" s="314"/>
      <c r="AC245" s="335"/>
      <c r="AD245" s="355"/>
      <c r="AE245" s="335"/>
      <c r="AF245" s="356"/>
    </row>
    <row r="246" spans="1:32" s="289" customFormat="1" ht="70.5" customHeight="1">
      <c r="A246" s="336"/>
      <c r="B246" s="330" t="s">
        <v>667</v>
      </c>
      <c r="C246" s="314" t="s">
        <v>668</v>
      </c>
      <c r="D246" s="314" t="s">
        <v>669</v>
      </c>
      <c r="E246" s="327" t="s">
        <v>670</v>
      </c>
      <c r="F246" s="327" t="s">
        <v>671</v>
      </c>
      <c r="G246" s="93">
        <f>4560+940</f>
        <v>5500</v>
      </c>
      <c r="H246" s="91">
        <v>4559.5919999999996</v>
      </c>
      <c r="I246" s="94">
        <f t="shared" ref="I246" si="74">J246</f>
        <v>4560</v>
      </c>
      <c r="J246" s="99">
        <v>4560</v>
      </c>
      <c r="K246" s="106"/>
      <c r="L246" s="106"/>
      <c r="M246" s="94">
        <f t="shared" ref="M246" si="75">N246</f>
        <v>2000</v>
      </c>
      <c r="N246" s="99">
        <v>2000</v>
      </c>
      <c r="O246" s="99"/>
      <c r="P246" s="99"/>
      <c r="Q246" s="94">
        <f t="shared" ref="Q246" si="76">R246</f>
        <v>2000</v>
      </c>
      <c r="R246" s="91">
        <v>2000</v>
      </c>
      <c r="S246" s="94">
        <f t="shared" ref="S246" si="77">T246</f>
        <v>2000</v>
      </c>
      <c r="T246" s="99">
        <v>2000</v>
      </c>
      <c r="U246" s="94">
        <f t="shared" ref="U246" si="78">V246</f>
        <v>2000</v>
      </c>
      <c r="V246" s="99">
        <v>2000</v>
      </c>
      <c r="W246" s="94">
        <f t="shared" ref="W246" si="79">X246</f>
        <v>2560</v>
      </c>
      <c r="X246" s="94">
        <f t="shared" ref="X246" si="80">J246-V246</f>
        <v>2560</v>
      </c>
      <c r="Y246" s="99"/>
      <c r="Z246" s="99"/>
      <c r="AA246" s="297" t="s">
        <v>638</v>
      </c>
      <c r="AB246" s="314" t="s">
        <v>639</v>
      </c>
      <c r="AC246" s="335"/>
      <c r="AD246" s="355"/>
      <c r="AE246" s="335"/>
      <c r="AF246" s="356"/>
    </row>
    <row r="247" spans="1:32" s="289" customFormat="1" ht="37.5">
      <c r="A247" s="377" t="s">
        <v>509</v>
      </c>
      <c r="B247" s="301" t="s">
        <v>527</v>
      </c>
      <c r="C247" s="313"/>
      <c r="D247" s="313"/>
      <c r="E247" s="313"/>
      <c r="F247" s="313"/>
      <c r="G247" s="104">
        <f>G248</f>
        <v>288412</v>
      </c>
      <c r="H247" s="104">
        <f t="shared" ref="H247:Z247" si="81">H248</f>
        <v>288412</v>
      </c>
      <c r="I247" s="104">
        <f t="shared" si="81"/>
        <v>58209</v>
      </c>
      <c r="J247" s="104">
        <f t="shared" si="81"/>
        <v>58209</v>
      </c>
      <c r="K247" s="104">
        <f t="shared" si="81"/>
        <v>0</v>
      </c>
      <c r="L247" s="104">
        <f t="shared" si="81"/>
        <v>0</v>
      </c>
      <c r="M247" s="104">
        <f t="shared" si="81"/>
        <v>0</v>
      </c>
      <c r="N247" s="104">
        <f t="shared" si="81"/>
        <v>0</v>
      </c>
      <c r="O247" s="104">
        <f t="shared" si="81"/>
        <v>0</v>
      </c>
      <c r="P247" s="104">
        <f t="shared" si="81"/>
        <v>0</v>
      </c>
      <c r="Q247" s="104">
        <f t="shared" si="81"/>
        <v>0</v>
      </c>
      <c r="R247" s="104">
        <f t="shared" si="81"/>
        <v>0</v>
      </c>
      <c r="S247" s="104">
        <f t="shared" si="81"/>
        <v>0</v>
      </c>
      <c r="T247" s="104">
        <f t="shared" si="81"/>
        <v>0</v>
      </c>
      <c r="U247" s="104">
        <f t="shared" si="81"/>
        <v>0</v>
      </c>
      <c r="V247" s="104">
        <f t="shared" si="81"/>
        <v>0</v>
      </c>
      <c r="W247" s="104">
        <f t="shared" si="81"/>
        <v>58209</v>
      </c>
      <c r="X247" s="104">
        <f t="shared" si="81"/>
        <v>58209</v>
      </c>
      <c r="Y247" s="104">
        <f t="shared" si="81"/>
        <v>0</v>
      </c>
      <c r="Z247" s="104">
        <f t="shared" si="81"/>
        <v>0</v>
      </c>
      <c r="AA247" s="334"/>
      <c r="AB247" s="334"/>
      <c r="AC247" s="335"/>
      <c r="AD247" s="355"/>
      <c r="AE247" s="335"/>
      <c r="AF247" s="356"/>
    </row>
    <row r="248" spans="1:32" s="289" customFormat="1" ht="19.5">
      <c r="A248" s="302" t="s">
        <v>43</v>
      </c>
      <c r="B248" s="301" t="s">
        <v>58</v>
      </c>
      <c r="C248" s="297"/>
      <c r="D248" s="297"/>
      <c r="E248" s="297"/>
      <c r="F248" s="297"/>
      <c r="G248" s="104">
        <f>+G249</f>
        <v>288412</v>
      </c>
      <c r="H248" s="104">
        <f t="shared" ref="H248:Z248" si="82">+H249</f>
        <v>288412</v>
      </c>
      <c r="I248" s="104">
        <f t="shared" si="82"/>
        <v>58209</v>
      </c>
      <c r="J248" s="104">
        <f t="shared" si="82"/>
        <v>58209</v>
      </c>
      <c r="K248" s="104">
        <f t="shared" si="82"/>
        <v>0</v>
      </c>
      <c r="L248" s="104">
        <f t="shared" si="82"/>
        <v>0</v>
      </c>
      <c r="M248" s="104">
        <f t="shared" si="82"/>
        <v>0</v>
      </c>
      <c r="N248" s="104">
        <f t="shared" si="82"/>
        <v>0</v>
      </c>
      <c r="O248" s="104">
        <f t="shared" si="82"/>
        <v>0</v>
      </c>
      <c r="P248" s="104">
        <f t="shared" si="82"/>
        <v>0</v>
      </c>
      <c r="Q248" s="104">
        <f t="shared" si="82"/>
        <v>0</v>
      </c>
      <c r="R248" s="104">
        <f t="shared" si="82"/>
        <v>0</v>
      </c>
      <c r="S248" s="104">
        <f t="shared" si="82"/>
        <v>0</v>
      </c>
      <c r="T248" s="104">
        <f t="shared" si="82"/>
        <v>0</v>
      </c>
      <c r="U248" s="104">
        <f t="shared" si="82"/>
        <v>0</v>
      </c>
      <c r="V248" s="104">
        <f t="shared" si="82"/>
        <v>0</v>
      </c>
      <c r="W248" s="104">
        <f t="shared" si="82"/>
        <v>58209</v>
      </c>
      <c r="X248" s="104">
        <f t="shared" si="82"/>
        <v>58209</v>
      </c>
      <c r="Y248" s="104">
        <f t="shared" si="82"/>
        <v>0</v>
      </c>
      <c r="Z248" s="104">
        <f t="shared" si="82"/>
        <v>0</v>
      </c>
      <c r="AA248" s="297"/>
      <c r="AB248" s="110"/>
      <c r="AC248" s="335"/>
      <c r="AD248" s="355"/>
      <c r="AE248" s="335"/>
      <c r="AF248" s="356"/>
    </row>
    <row r="249" spans="1:32" s="289" customFormat="1" ht="37.5">
      <c r="A249" s="303" t="s">
        <v>41</v>
      </c>
      <c r="B249" s="304" t="s">
        <v>109</v>
      </c>
      <c r="C249" s="313"/>
      <c r="D249" s="313"/>
      <c r="E249" s="313"/>
      <c r="F249" s="313"/>
      <c r="G249" s="104">
        <f>+G250+G254</f>
        <v>288412</v>
      </c>
      <c r="H249" s="104">
        <f t="shared" ref="H249:Z249" si="83">+H250+H254</f>
        <v>288412</v>
      </c>
      <c r="I249" s="104">
        <f t="shared" si="83"/>
        <v>58209</v>
      </c>
      <c r="J249" s="104">
        <f t="shared" si="83"/>
        <v>58209</v>
      </c>
      <c r="K249" s="104">
        <f t="shared" si="83"/>
        <v>0</v>
      </c>
      <c r="L249" s="104">
        <f t="shared" si="83"/>
        <v>0</v>
      </c>
      <c r="M249" s="104">
        <f t="shared" si="83"/>
        <v>0</v>
      </c>
      <c r="N249" s="104">
        <f t="shared" si="83"/>
        <v>0</v>
      </c>
      <c r="O249" s="104">
        <f t="shared" si="83"/>
        <v>0</v>
      </c>
      <c r="P249" s="104">
        <f t="shared" si="83"/>
        <v>0</v>
      </c>
      <c r="Q249" s="104">
        <f t="shared" si="83"/>
        <v>0</v>
      </c>
      <c r="R249" s="104">
        <f t="shared" si="83"/>
        <v>0</v>
      </c>
      <c r="S249" s="104">
        <f t="shared" si="83"/>
        <v>0</v>
      </c>
      <c r="T249" s="104">
        <f t="shared" si="83"/>
        <v>0</v>
      </c>
      <c r="U249" s="104">
        <f t="shared" si="83"/>
        <v>0</v>
      </c>
      <c r="V249" s="104">
        <f t="shared" si="83"/>
        <v>0</v>
      </c>
      <c r="W249" s="104">
        <f t="shared" si="83"/>
        <v>58209</v>
      </c>
      <c r="X249" s="104">
        <f t="shared" si="83"/>
        <v>58209</v>
      </c>
      <c r="Y249" s="104">
        <f t="shared" si="83"/>
        <v>0</v>
      </c>
      <c r="Z249" s="104">
        <f t="shared" si="83"/>
        <v>0</v>
      </c>
      <c r="AA249" s="315"/>
      <c r="AB249" s="110"/>
      <c r="AC249" s="335"/>
      <c r="AD249" s="355"/>
      <c r="AE249" s="335"/>
      <c r="AF249" s="356"/>
    </row>
    <row r="250" spans="1:32" s="289" customFormat="1" ht="19.5">
      <c r="A250" s="307" t="s">
        <v>46</v>
      </c>
      <c r="B250" s="308" t="s">
        <v>18</v>
      </c>
      <c r="C250" s="309"/>
      <c r="D250" s="309"/>
      <c r="E250" s="309"/>
      <c r="F250" s="309"/>
      <c r="G250" s="105">
        <f>SUM(G251:G253)</f>
        <v>252638</v>
      </c>
      <c r="H250" s="105">
        <f t="shared" ref="H250:Z250" si="84">SUM(H251:H253)</f>
        <v>252638</v>
      </c>
      <c r="I250" s="105">
        <f t="shared" si="84"/>
        <v>38209</v>
      </c>
      <c r="J250" s="105">
        <f t="shared" si="84"/>
        <v>38209</v>
      </c>
      <c r="K250" s="105">
        <f t="shared" si="84"/>
        <v>0</v>
      </c>
      <c r="L250" s="105">
        <f t="shared" si="84"/>
        <v>0</v>
      </c>
      <c r="M250" s="105">
        <f t="shared" si="84"/>
        <v>0</v>
      </c>
      <c r="N250" s="105">
        <f t="shared" si="84"/>
        <v>0</v>
      </c>
      <c r="O250" s="105">
        <f t="shared" si="84"/>
        <v>0</v>
      </c>
      <c r="P250" s="105">
        <f t="shared" si="84"/>
        <v>0</v>
      </c>
      <c r="Q250" s="105">
        <f t="shared" si="84"/>
        <v>0</v>
      </c>
      <c r="R250" s="105">
        <f t="shared" si="84"/>
        <v>0</v>
      </c>
      <c r="S250" s="105">
        <f t="shared" si="84"/>
        <v>0</v>
      </c>
      <c r="T250" s="105">
        <f t="shared" si="84"/>
        <v>0</v>
      </c>
      <c r="U250" s="105">
        <f t="shared" si="84"/>
        <v>0</v>
      </c>
      <c r="V250" s="105">
        <f t="shared" si="84"/>
        <v>0</v>
      </c>
      <c r="W250" s="105">
        <f t="shared" si="84"/>
        <v>38209</v>
      </c>
      <c r="X250" s="105">
        <f t="shared" si="84"/>
        <v>38209</v>
      </c>
      <c r="Y250" s="105">
        <f t="shared" si="84"/>
        <v>0</v>
      </c>
      <c r="Z250" s="105">
        <f t="shared" si="84"/>
        <v>0</v>
      </c>
      <c r="AA250" s="310"/>
      <c r="AB250" s="110"/>
      <c r="AC250" s="335"/>
      <c r="AD250" s="355"/>
      <c r="AE250" s="335"/>
      <c r="AF250" s="356"/>
    </row>
    <row r="251" spans="1:32" s="289" customFormat="1" ht="70.5" customHeight="1">
      <c r="A251" s="311" t="s">
        <v>13</v>
      </c>
      <c r="B251" s="312" t="s">
        <v>538</v>
      </c>
      <c r="C251" s="313" t="s">
        <v>539</v>
      </c>
      <c r="D251" s="313" t="s">
        <v>540</v>
      </c>
      <c r="E251" s="313" t="s">
        <v>541</v>
      </c>
      <c r="F251" s="313"/>
      <c r="G251" s="106">
        <v>78032</v>
      </c>
      <c r="H251" s="106">
        <v>78032</v>
      </c>
      <c r="I251" s="106">
        <v>20000</v>
      </c>
      <c r="J251" s="106">
        <v>20000</v>
      </c>
      <c r="K251" s="106"/>
      <c r="L251" s="106"/>
      <c r="M251" s="106"/>
      <c r="N251" s="106"/>
      <c r="O251" s="106"/>
      <c r="P251" s="106"/>
      <c r="Q251" s="106"/>
      <c r="R251" s="106"/>
      <c r="S251" s="106"/>
      <c r="T251" s="106"/>
      <c r="U251" s="106"/>
      <c r="V251" s="106"/>
      <c r="W251" s="106">
        <v>20000</v>
      </c>
      <c r="X251" s="106">
        <v>20000</v>
      </c>
      <c r="Y251" s="106"/>
      <c r="Z251" s="106"/>
      <c r="AA251" s="315"/>
      <c r="AB251" s="314" t="s">
        <v>593</v>
      </c>
      <c r="AC251" s="335"/>
      <c r="AD251" s="355"/>
      <c r="AE251" s="335"/>
      <c r="AF251" s="356"/>
    </row>
    <row r="252" spans="1:32" s="289" customFormat="1" ht="100.5" customHeight="1">
      <c r="A252" s="311" t="s">
        <v>0</v>
      </c>
      <c r="B252" s="312" t="s">
        <v>542</v>
      </c>
      <c r="C252" s="313" t="s">
        <v>438</v>
      </c>
      <c r="D252" s="313" t="s">
        <v>543</v>
      </c>
      <c r="E252" s="313" t="s">
        <v>541</v>
      </c>
      <c r="F252" s="313"/>
      <c r="G252" s="106">
        <v>88976</v>
      </c>
      <c r="H252" s="106">
        <v>88976</v>
      </c>
      <c r="I252" s="106">
        <v>2000</v>
      </c>
      <c r="J252" s="106">
        <v>2000</v>
      </c>
      <c r="K252" s="106"/>
      <c r="L252" s="106"/>
      <c r="M252" s="106"/>
      <c r="N252" s="106"/>
      <c r="O252" s="106"/>
      <c r="P252" s="106"/>
      <c r="Q252" s="106"/>
      <c r="R252" s="106"/>
      <c r="S252" s="106"/>
      <c r="T252" s="106"/>
      <c r="U252" s="106"/>
      <c r="V252" s="106"/>
      <c r="W252" s="106">
        <v>2000</v>
      </c>
      <c r="X252" s="106">
        <v>2000</v>
      </c>
      <c r="Y252" s="106"/>
      <c r="Z252" s="106"/>
      <c r="AA252" s="315"/>
      <c r="AB252" s="314" t="s">
        <v>593</v>
      </c>
      <c r="AC252" s="335"/>
      <c r="AD252" s="355"/>
      <c r="AE252" s="335"/>
      <c r="AF252" s="356"/>
    </row>
    <row r="253" spans="1:32" s="289" customFormat="1" ht="70.5" customHeight="1">
      <c r="A253" s="311" t="s">
        <v>5</v>
      </c>
      <c r="B253" s="325" t="s">
        <v>544</v>
      </c>
      <c r="C253" s="313" t="s">
        <v>438</v>
      </c>
      <c r="D253" s="313" t="s">
        <v>545</v>
      </c>
      <c r="E253" s="313" t="s">
        <v>541</v>
      </c>
      <c r="F253" s="313"/>
      <c r="G253" s="106">
        <v>85630</v>
      </c>
      <c r="H253" s="106">
        <v>85630</v>
      </c>
      <c r="I253" s="106">
        <v>16209</v>
      </c>
      <c r="J253" s="106">
        <v>16209</v>
      </c>
      <c r="K253" s="106"/>
      <c r="L253" s="106"/>
      <c r="M253" s="106"/>
      <c r="N253" s="106"/>
      <c r="O253" s="106"/>
      <c r="P253" s="106"/>
      <c r="Q253" s="106"/>
      <c r="R253" s="106"/>
      <c r="S253" s="106"/>
      <c r="T253" s="106"/>
      <c r="U253" s="106"/>
      <c r="V253" s="106"/>
      <c r="W253" s="106">
        <v>16209</v>
      </c>
      <c r="X253" s="106">
        <v>16209</v>
      </c>
      <c r="Y253" s="106"/>
      <c r="Z253" s="106"/>
      <c r="AA253" s="315"/>
      <c r="AB253" s="314" t="s">
        <v>593</v>
      </c>
      <c r="AC253" s="335"/>
      <c r="AD253" s="355"/>
      <c r="AE253" s="335"/>
      <c r="AF253" s="356"/>
    </row>
    <row r="254" spans="1:32" s="289" customFormat="1" ht="19.5">
      <c r="A254" s="307" t="s">
        <v>19</v>
      </c>
      <c r="B254" s="308" t="s">
        <v>20</v>
      </c>
      <c r="C254" s="309"/>
      <c r="D254" s="309"/>
      <c r="E254" s="309"/>
      <c r="F254" s="309"/>
      <c r="G254" s="105">
        <f>+G255</f>
        <v>35774</v>
      </c>
      <c r="H254" s="105">
        <f t="shared" ref="H254:Z254" si="85">+H255</f>
        <v>35774</v>
      </c>
      <c r="I254" s="105">
        <f t="shared" si="85"/>
        <v>20000</v>
      </c>
      <c r="J254" s="105">
        <f t="shared" si="85"/>
        <v>20000</v>
      </c>
      <c r="K254" s="105">
        <f t="shared" si="85"/>
        <v>0</v>
      </c>
      <c r="L254" s="105">
        <f t="shared" si="85"/>
        <v>0</v>
      </c>
      <c r="M254" s="105">
        <f t="shared" si="85"/>
        <v>0</v>
      </c>
      <c r="N254" s="105">
        <f t="shared" si="85"/>
        <v>0</v>
      </c>
      <c r="O254" s="105">
        <f t="shared" si="85"/>
        <v>0</v>
      </c>
      <c r="P254" s="105">
        <f t="shared" si="85"/>
        <v>0</v>
      </c>
      <c r="Q254" s="105">
        <f t="shared" si="85"/>
        <v>0</v>
      </c>
      <c r="R254" s="105">
        <f t="shared" si="85"/>
        <v>0</v>
      </c>
      <c r="S254" s="105">
        <f t="shared" si="85"/>
        <v>0</v>
      </c>
      <c r="T254" s="105">
        <f t="shared" si="85"/>
        <v>0</v>
      </c>
      <c r="U254" s="105">
        <f t="shared" si="85"/>
        <v>0</v>
      </c>
      <c r="V254" s="105">
        <f t="shared" si="85"/>
        <v>0</v>
      </c>
      <c r="W254" s="105">
        <f t="shared" si="85"/>
        <v>20000</v>
      </c>
      <c r="X254" s="105">
        <f t="shared" si="85"/>
        <v>20000</v>
      </c>
      <c r="Y254" s="105">
        <f t="shared" si="85"/>
        <v>0</v>
      </c>
      <c r="Z254" s="105">
        <f t="shared" si="85"/>
        <v>0</v>
      </c>
      <c r="AA254" s="310"/>
      <c r="AB254" s="110"/>
      <c r="AC254" s="335"/>
      <c r="AD254" s="355"/>
      <c r="AE254" s="335"/>
      <c r="AF254" s="356"/>
    </row>
    <row r="255" spans="1:32" s="289" customFormat="1" ht="87.75" customHeight="1">
      <c r="A255" s="311"/>
      <c r="B255" s="312" t="s">
        <v>546</v>
      </c>
      <c r="C255" s="313" t="s">
        <v>364</v>
      </c>
      <c r="D255" s="313" t="s">
        <v>543</v>
      </c>
      <c r="E255" s="313" t="s">
        <v>547</v>
      </c>
      <c r="F255" s="313"/>
      <c r="G255" s="106">
        <v>35774</v>
      </c>
      <c r="H255" s="106">
        <v>35774</v>
      </c>
      <c r="I255" s="106">
        <v>20000</v>
      </c>
      <c r="J255" s="106">
        <v>20000</v>
      </c>
      <c r="K255" s="106"/>
      <c r="L255" s="106"/>
      <c r="M255" s="106"/>
      <c r="N255" s="106"/>
      <c r="O255" s="106"/>
      <c r="P255" s="106"/>
      <c r="Q255" s="106"/>
      <c r="R255" s="106"/>
      <c r="S255" s="106"/>
      <c r="T255" s="106"/>
      <c r="U255" s="106"/>
      <c r="V255" s="106"/>
      <c r="W255" s="106">
        <v>20000</v>
      </c>
      <c r="X255" s="106">
        <v>20000</v>
      </c>
      <c r="Y255" s="106"/>
      <c r="Z255" s="106"/>
      <c r="AA255" s="315"/>
      <c r="AB255" s="314" t="s">
        <v>593</v>
      </c>
      <c r="AC255" s="335"/>
      <c r="AD255" s="355"/>
      <c r="AE255" s="335"/>
      <c r="AF255" s="356"/>
    </row>
    <row r="256" spans="1:32" s="289" customFormat="1" ht="19.5">
      <c r="A256" s="377" t="s">
        <v>600</v>
      </c>
      <c r="B256" s="316" t="s">
        <v>374</v>
      </c>
      <c r="C256" s="313"/>
      <c r="D256" s="327"/>
      <c r="E256" s="318"/>
      <c r="F256" s="331"/>
      <c r="G256" s="113">
        <f t="shared" ref="G256:Z256" si="86">G257+G277+G320+G335+G343</f>
        <v>23052080</v>
      </c>
      <c r="H256" s="113">
        <f t="shared" si="86"/>
        <v>4147554</v>
      </c>
      <c r="I256" s="113">
        <f t="shared" si="86"/>
        <v>5889347</v>
      </c>
      <c r="J256" s="113">
        <f t="shared" si="86"/>
        <v>3904439</v>
      </c>
      <c r="K256" s="113">
        <f t="shared" si="86"/>
        <v>9602</v>
      </c>
      <c r="L256" s="113">
        <f t="shared" si="86"/>
        <v>0</v>
      </c>
      <c r="M256" s="113">
        <f t="shared" si="86"/>
        <v>4381117</v>
      </c>
      <c r="N256" s="113">
        <f t="shared" si="86"/>
        <v>975946</v>
      </c>
      <c r="O256" s="113">
        <f t="shared" si="86"/>
        <v>2143820.7200000002</v>
      </c>
      <c r="P256" s="113">
        <f t="shared" si="86"/>
        <v>379787.62</v>
      </c>
      <c r="Q256" s="113">
        <f t="shared" si="86"/>
        <v>3014879.7199999997</v>
      </c>
      <c r="R256" s="113">
        <f t="shared" si="86"/>
        <v>288230.62</v>
      </c>
      <c r="S256" s="113">
        <f t="shared" si="86"/>
        <v>4310492</v>
      </c>
      <c r="T256" s="113">
        <f t="shared" si="86"/>
        <v>935321</v>
      </c>
      <c r="U256" s="113">
        <f t="shared" si="86"/>
        <v>4558895.4807280004</v>
      </c>
      <c r="V256" s="113">
        <f t="shared" si="86"/>
        <v>2884508.4807279999</v>
      </c>
      <c r="W256" s="113">
        <f t="shared" si="86"/>
        <v>3066578</v>
      </c>
      <c r="X256" s="113">
        <f t="shared" si="86"/>
        <v>523083</v>
      </c>
      <c r="Y256" s="113">
        <f t="shared" si="86"/>
        <v>0</v>
      </c>
      <c r="Z256" s="113">
        <f t="shared" si="86"/>
        <v>0</v>
      </c>
      <c r="AA256" s="110"/>
      <c r="AB256" s="110"/>
      <c r="AC256" s="335"/>
      <c r="AD256" s="355"/>
      <c r="AE256" s="335"/>
      <c r="AF256" s="356"/>
    </row>
    <row r="257" spans="1:28" s="289" customFormat="1" ht="66" customHeight="1">
      <c r="A257" s="391" t="s">
        <v>601</v>
      </c>
      <c r="B257" s="301" t="s">
        <v>292</v>
      </c>
      <c r="C257" s="297"/>
      <c r="D257" s="297"/>
      <c r="E257" s="297"/>
      <c r="F257" s="297"/>
      <c r="G257" s="298">
        <f>G258+G260</f>
        <v>3922649</v>
      </c>
      <c r="H257" s="298">
        <f t="shared" ref="H257:Z257" si="87">H258+H260</f>
        <v>345496</v>
      </c>
      <c r="I257" s="298">
        <f t="shared" si="87"/>
        <v>782715</v>
      </c>
      <c r="J257" s="298">
        <f t="shared" si="87"/>
        <v>782715</v>
      </c>
      <c r="K257" s="298">
        <f t="shared" si="87"/>
        <v>0</v>
      </c>
      <c r="L257" s="298">
        <f t="shared" si="87"/>
        <v>0</v>
      </c>
      <c r="M257" s="298">
        <f t="shared" si="87"/>
        <v>72145</v>
      </c>
      <c r="N257" s="298">
        <f t="shared" si="87"/>
        <v>72145</v>
      </c>
      <c r="O257" s="298">
        <f t="shared" si="87"/>
        <v>16068</v>
      </c>
      <c r="P257" s="298">
        <f t="shared" si="87"/>
        <v>16068</v>
      </c>
      <c r="Q257" s="298">
        <f t="shared" si="87"/>
        <v>53003</v>
      </c>
      <c r="R257" s="298">
        <f t="shared" si="87"/>
        <v>53003</v>
      </c>
      <c r="S257" s="298">
        <f t="shared" si="87"/>
        <v>84351</v>
      </c>
      <c r="T257" s="298">
        <f t="shared" si="87"/>
        <v>84351</v>
      </c>
      <c r="U257" s="298">
        <f t="shared" si="87"/>
        <v>207274</v>
      </c>
      <c r="V257" s="298">
        <f t="shared" si="87"/>
        <v>207274</v>
      </c>
      <c r="W257" s="298">
        <f t="shared" si="87"/>
        <v>67248</v>
      </c>
      <c r="X257" s="298">
        <f t="shared" si="87"/>
        <v>67248</v>
      </c>
      <c r="Y257" s="298">
        <f t="shared" si="87"/>
        <v>0</v>
      </c>
      <c r="Z257" s="298">
        <f t="shared" si="87"/>
        <v>0</v>
      </c>
      <c r="AA257" s="297"/>
      <c r="AB257" s="299"/>
    </row>
    <row r="258" spans="1:28" s="295" customFormat="1">
      <c r="A258" s="302" t="s">
        <v>38</v>
      </c>
      <c r="B258" s="301" t="s">
        <v>83</v>
      </c>
      <c r="C258" s="392"/>
      <c r="D258" s="392"/>
      <c r="E258" s="392"/>
      <c r="F258" s="392"/>
      <c r="G258" s="298">
        <f>G259</f>
        <v>3185908</v>
      </c>
      <c r="H258" s="298">
        <f t="shared" ref="H258:Z258" si="88">H259</f>
        <v>0</v>
      </c>
      <c r="I258" s="298">
        <f t="shared" si="88"/>
        <v>505493</v>
      </c>
      <c r="J258" s="298">
        <f t="shared" si="88"/>
        <v>505493</v>
      </c>
      <c r="K258" s="298">
        <f t="shared" si="88"/>
        <v>0</v>
      </c>
      <c r="L258" s="298">
        <f t="shared" si="88"/>
        <v>0</v>
      </c>
      <c r="M258" s="298">
        <f t="shared" si="88"/>
        <v>10000</v>
      </c>
      <c r="N258" s="298">
        <f t="shared" si="88"/>
        <v>10000</v>
      </c>
      <c r="O258" s="298">
        <f t="shared" si="88"/>
        <v>0</v>
      </c>
      <c r="P258" s="298">
        <f t="shared" si="88"/>
        <v>0</v>
      </c>
      <c r="Q258" s="298">
        <f t="shared" si="88"/>
        <v>0</v>
      </c>
      <c r="R258" s="298">
        <f t="shared" si="88"/>
        <v>0</v>
      </c>
      <c r="S258" s="298">
        <f t="shared" si="88"/>
        <v>10000</v>
      </c>
      <c r="T258" s="298">
        <f t="shared" si="88"/>
        <v>10000</v>
      </c>
      <c r="U258" s="298">
        <f t="shared" si="88"/>
        <v>10000</v>
      </c>
      <c r="V258" s="298">
        <f t="shared" si="88"/>
        <v>10000</v>
      </c>
      <c r="W258" s="298">
        <f t="shared" si="88"/>
        <v>2700</v>
      </c>
      <c r="X258" s="298">
        <f t="shared" si="88"/>
        <v>2700</v>
      </c>
      <c r="Y258" s="298">
        <f t="shared" si="88"/>
        <v>0</v>
      </c>
      <c r="Z258" s="298">
        <f t="shared" si="88"/>
        <v>0</v>
      </c>
      <c r="AA258" s="306"/>
      <c r="AB258" s="371"/>
    </row>
    <row r="259" spans="1:28" s="289" customFormat="1" ht="112.5">
      <c r="A259" s="393"/>
      <c r="B259" s="357" t="s">
        <v>242</v>
      </c>
      <c r="C259" s="353" t="s">
        <v>243</v>
      </c>
      <c r="D259" s="353" t="s">
        <v>244</v>
      </c>
      <c r="E259" s="297"/>
      <c r="F259" s="297"/>
      <c r="G259" s="110">
        <v>3185908</v>
      </c>
      <c r="H259" s="110"/>
      <c r="I259" s="110">
        <f>J259</f>
        <v>505493</v>
      </c>
      <c r="J259" s="110">
        <v>505493</v>
      </c>
      <c r="K259" s="315"/>
      <c r="L259" s="315"/>
      <c r="M259" s="110">
        <v>10000</v>
      </c>
      <c r="N259" s="110">
        <v>10000</v>
      </c>
      <c r="O259" s="110"/>
      <c r="P259" s="110"/>
      <c r="Q259" s="110"/>
      <c r="R259" s="110"/>
      <c r="S259" s="110">
        <v>10000</v>
      </c>
      <c r="T259" s="110">
        <v>10000</v>
      </c>
      <c r="U259" s="110">
        <v>10000</v>
      </c>
      <c r="V259" s="110">
        <v>10000</v>
      </c>
      <c r="W259" s="110">
        <f>X259</f>
        <v>2700</v>
      </c>
      <c r="X259" s="110">
        <v>2700</v>
      </c>
      <c r="Y259" s="315"/>
      <c r="Z259" s="315"/>
      <c r="AA259" s="315"/>
      <c r="AB259" s="314" t="s">
        <v>594</v>
      </c>
    </row>
    <row r="260" spans="1:28" s="289" customFormat="1">
      <c r="A260" s="302" t="s">
        <v>43</v>
      </c>
      <c r="B260" s="301" t="s">
        <v>58</v>
      </c>
      <c r="C260" s="297"/>
      <c r="D260" s="297"/>
      <c r="E260" s="297"/>
      <c r="F260" s="297"/>
      <c r="G260" s="298">
        <f t="shared" ref="G260:Z260" si="89">G261+G269+G272</f>
        <v>736741</v>
      </c>
      <c r="H260" s="298">
        <f t="shared" si="89"/>
        <v>345496</v>
      </c>
      <c r="I260" s="298">
        <f t="shared" si="89"/>
        <v>277222</v>
      </c>
      <c r="J260" s="298">
        <f t="shared" si="89"/>
        <v>277222</v>
      </c>
      <c r="K260" s="298">
        <f t="shared" si="89"/>
        <v>0</v>
      </c>
      <c r="L260" s="298">
        <f t="shared" si="89"/>
        <v>0</v>
      </c>
      <c r="M260" s="298">
        <f t="shared" si="89"/>
        <v>62145</v>
      </c>
      <c r="N260" s="298">
        <f t="shared" si="89"/>
        <v>62145</v>
      </c>
      <c r="O260" s="298">
        <f t="shared" si="89"/>
        <v>16068</v>
      </c>
      <c r="P260" s="298">
        <f t="shared" si="89"/>
        <v>16068</v>
      </c>
      <c r="Q260" s="298">
        <f t="shared" si="89"/>
        <v>53003</v>
      </c>
      <c r="R260" s="298">
        <f t="shared" si="89"/>
        <v>53003</v>
      </c>
      <c r="S260" s="298">
        <f t="shared" si="89"/>
        <v>74351</v>
      </c>
      <c r="T260" s="298">
        <f t="shared" si="89"/>
        <v>74351</v>
      </c>
      <c r="U260" s="298">
        <f t="shared" si="89"/>
        <v>197274</v>
      </c>
      <c r="V260" s="298">
        <f t="shared" si="89"/>
        <v>197274</v>
      </c>
      <c r="W260" s="298">
        <f t="shared" si="89"/>
        <v>64548</v>
      </c>
      <c r="X260" s="298">
        <f t="shared" si="89"/>
        <v>64548</v>
      </c>
      <c r="Y260" s="298">
        <f t="shared" si="89"/>
        <v>0</v>
      </c>
      <c r="Z260" s="298">
        <f t="shared" si="89"/>
        <v>0</v>
      </c>
      <c r="AA260" s="315"/>
      <c r="AB260" s="299"/>
    </row>
    <row r="261" spans="1:28" s="289" customFormat="1" ht="56.25">
      <c r="A261" s="303" t="s">
        <v>39</v>
      </c>
      <c r="B261" s="304" t="s">
        <v>108</v>
      </c>
      <c r="C261" s="305"/>
      <c r="D261" s="305"/>
      <c r="E261" s="305"/>
      <c r="F261" s="305"/>
      <c r="G261" s="372">
        <f t="shared" ref="G261:Z261" si="90">G262+G265</f>
        <v>641452</v>
      </c>
      <c r="H261" s="372">
        <f t="shared" si="90"/>
        <v>260507</v>
      </c>
      <c r="I261" s="372">
        <f t="shared" si="90"/>
        <v>225383</v>
      </c>
      <c r="J261" s="372">
        <f t="shared" si="90"/>
        <v>225383</v>
      </c>
      <c r="K261" s="372">
        <f t="shared" si="90"/>
        <v>0</v>
      </c>
      <c r="L261" s="372">
        <f t="shared" si="90"/>
        <v>0</v>
      </c>
      <c r="M261" s="372">
        <f t="shared" si="90"/>
        <v>62145</v>
      </c>
      <c r="N261" s="372">
        <f t="shared" si="90"/>
        <v>62145</v>
      </c>
      <c r="O261" s="372">
        <f t="shared" si="90"/>
        <v>16068</v>
      </c>
      <c r="P261" s="372">
        <f t="shared" si="90"/>
        <v>16068</v>
      </c>
      <c r="Q261" s="372">
        <f t="shared" si="90"/>
        <v>53003</v>
      </c>
      <c r="R261" s="372">
        <f t="shared" si="90"/>
        <v>53003</v>
      </c>
      <c r="S261" s="372">
        <f t="shared" si="90"/>
        <v>72851</v>
      </c>
      <c r="T261" s="372">
        <f t="shared" si="90"/>
        <v>72851</v>
      </c>
      <c r="U261" s="372">
        <f t="shared" si="90"/>
        <v>195774</v>
      </c>
      <c r="V261" s="372">
        <f t="shared" si="90"/>
        <v>195774</v>
      </c>
      <c r="W261" s="372">
        <f t="shared" si="90"/>
        <v>0</v>
      </c>
      <c r="X261" s="372">
        <f t="shared" si="90"/>
        <v>0</v>
      </c>
      <c r="Y261" s="372">
        <f t="shared" si="90"/>
        <v>0</v>
      </c>
      <c r="Z261" s="372">
        <f t="shared" si="90"/>
        <v>0</v>
      </c>
      <c r="AA261" s="315"/>
      <c r="AB261" s="299"/>
    </row>
    <row r="262" spans="1:28" s="289" customFormat="1" ht="19.5">
      <c r="A262" s="307" t="s">
        <v>46</v>
      </c>
      <c r="B262" s="308" t="s">
        <v>18</v>
      </c>
      <c r="C262" s="309"/>
      <c r="D262" s="309"/>
      <c r="E262" s="309"/>
      <c r="F262" s="309"/>
      <c r="G262" s="374">
        <f>SUM(G263:G264)</f>
        <v>572765</v>
      </c>
      <c r="H262" s="374">
        <f t="shared" ref="H262:Z262" si="91">SUM(H263:H264)</f>
        <v>208390</v>
      </c>
      <c r="I262" s="374">
        <f t="shared" si="91"/>
        <v>177876</v>
      </c>
      <c r="J262" s="374">
        <f t="shared" si="91"/>
        <v>177876</v>
      </c>
      <c r="K262" s="374">
        <f t="shared" si="91"/>
        <v>0</v>
      </c>
      <c r="L262" s="374">
        <f t="shared" si="91"/>
        <v>0</v>
      </c>
      <c r="M262" s="374">
        <f t="shared" si="91"/>
        <v>53523</v>
      </c>
      <c r="N262" s="374">
        <f t="shared" si="91"/>
        <v>53523</v>
      </c>
      <c r="O262" s="374">
        <f t="shared" si="91"/>
        <v>14762</v>
      </c>
      <c r="P262" s="374">
        <f t="shared" si="91"/>
        <v>14762</v>
      </c>
      <c r="Q262" s="374">
        <f t="shared" si="91"/>
        <v>51523</v>
      </c>
      <c r="R262" s="374">
        <f t="shared" si="91"/>
        <v>51523</v>
      </c>
      <c r="S262" s="374">
        <f t="shared" si="91"/>
        <v>59014</v>
      </c>
      <c r="T262" s="374">
        <f t="shared" si="91"/>
        <v>59014</v>
      </c>
      <c r="U262" s="374">
        <f t="shared" si="91"/>
        <v>148351</v>
      </c>
      <c r="V262" s="374">
        <f t="shared" si="91"/>
        <v>148351</v>
      </c>
      <c r="W262" s="374">
        <f t="shared" si="91"/>
        <v>0</v>
      </c>
      <c r="X262" s="374">
        <f t="shared" si="91"/>
        <v>0</v>
      </c>
      <c r="Y262" s="374">
        <f t="shared" si="91"/>
        <v>0</v>
      </c>
      <c r="Z262" s="374">
        <f t="shared" si="91"/>
        <v>0</v>
      </c>
      <c r="AA262" s="315"/>
      <c r="AB262" s="299"/>
    </row>
    <row r="263" spans="1:28" s="289" customFormat="1" ht="118.5" customHeight="1">
      <c r="A263" s="311" t="s">
        <v>13</v>
      </c>
      <c r="B263" s="312" t="s">
        <v>245</v>
      </c>
      <c r="C263" s="336" t="s">
        <v>243</v>
      </c>
      <c r="D263" s="314" t="s">
        <v>246</v>
      </c>
      <c r="E263" s="313" t="s">
        <v>247</v>
      </c>
      <c r="F263" s="314" t="s">
        <v>248</v>
      </c>
      <c r="G263" s="116">
        <v>457859</v>
      </c>
      <c r="H263" s="116">
        <v>196899</v>
      </c>
      <c r="I263" s="110">
        <f>J263</f>
        <v>166385</v>
      </c>
      <c r="J263" s="110">
        <v>166385</v>
      </c>
      <c r="K263" s="315"/>
      <c r="L263" s="315"/>
      <c r="M263" s="110">
        <v>47523</v>
      </c>
      <c r="N263" s="110">
        <v>47523</v>
      </c>
      <c r="O263" s="110">
        <v>14762</v>
      </c>
      <c r="P263" s="110">
        <v>14762</v>
      </c>
      <c r="Q263" s="110">
        <v>47523</v>
      </c>
      <c r="R263" s="110">
        <v>47523</v>
      </c>
      <c r="S263" s="110">
        <v>47523</v>
      </c>
      <c r="T263" s="110">
        <v>47523</v>
      </c>
      <c r="U263" s="110">
        <f>V263</f>
        <v>142351</v>
      </c>
      <c r="V263" s="110">
        <v>142351</v>
      </c>
      <c r="W263" s="110"/>
      <c r="X263" s="110"/>
      <c r="Y263" s="315"/>
      <c r="Z263" s="315"/>
      <c r="AA263" s="314"/>
      <c r="AB263" s="314" t="s">
        <v>594</v>
      </c>
    </row>
    <row r="264" spans="1:28" s="289" customFormat="1" ht="118.5" customHeight="1">
      <c r="A264" s="336">
        <v>2</v>
      </c>
      <c r="B264" s="330" t="s">
        <v>664</v>
      </c>
      <c r="C264" s="314" t="s">
        <v>631</v>
      </c>
      <c r="D264" s="321" t="s">
        <v>665</v>
      </c>
      <c r="E264" s="313" t="s">
        <v>316</v>
      </c>
      <c r="F264" s="321" t="s">
        <v>666</v>
      </c>
      <c r="G264" s="97">
        <v>114906</v>
      </c>
      <c r="H264" s="101">
        <f>G264-103415</f>
        <v>11491</v>
      </c>
      <c r="I264" s="94">
        <f t="shared" ref="I264" si="92">J264</f>
        <v>11491</v>
      </c>
      <c r="J264" s="99">
        <v>11491</v>
      </c>
      <c r="K264" s="315"/>
      <c r="L264" s="315"/>
      <c r="M264" s="94">
        <f t="shared" ref="M264" si="93">N264</f>
        <v>6000</v>
      </c>
      <c r="N264" s="99">
        <v>6000</v>
      </c>
      <c r="O264" s="94">
        <f t="shared" ref="O264" si="94">P264</f>
        <v>0</v>
      </c>
      <c r="P264" s="99"/>
      <c r="Q264" s="94">
        <f t="shared" ref="Q264" si="95">R264</f>
        <v>4000</v>
      </c>
      <c r="R264" s="91">
        <v>4000</v>
      </c>
      <c r="S264" s="94">
        <f t="shared" ref="S264" si="96">T264</f>
        <v>11491</v>
      </c>
      <c r="T264" s="99">
        <v>11491</v>
      </c>
      <c r="U264" s="94">
        <f t="shared" ref="U264" si="97">V264</f>
        <v>6000</v>
      </c>
      <c r="V264" s="99">
        <v>6000</v>
      </c>
      <c r="W264" s="94">
        <f t="shared" ref="W264" si="98">X264</f>
        <v>0</v>
      </c>
      <c r="X264" s="94"/>
      <c r="Y264" s="99"/>
      <c r="Z264" s="99"/>
      <c r="AA264" s="297" t="s">
        <v>638</v>
      </c>
      <c r="AB264" s="314" t="s">
        <v>639</v>
      </c>
    </row>
    <row r="265" spans="1:28" s="289" customFormat="1" ht="19.5">
      <c r="A265" s="307" t="s">
        <v>19</v>
      </c>
      <c r="B265" s="308" t="s">
        <v>20</v>
      </c>
      <c r="C265" s="309"/>
      <c r="D265" s="309"/>
      <c r="E265" s="309"/>
      <c r="F265" s="309"/>
      <c r="G265" s="374">
        <f>SUM(G266:G268)</f>
        <v>68687</v>
      </c>
      <c r="H265" s="374">
        <f t="shared" ref="H265:Z265" si="99">SUM(H266:H268)</f>
        <v>52117</v>
      </c>
      <c r="I265" s="374">
        <f t="shared" si="99"/>
        <v>47507</v>
      </c>
      <c r="J265" s="374">
        <f t="shared" si="99"/>
        <v>47507</v>
      </c>
      <c r="K265" s="374">
        <f t="shared" si="99"/>
        <v>0</v>
      </c>
      <c r="L265" s="374">
        <f t="shared" si="99"/>
        <v>0</v>
      </c>
      <c r="M265" s="374">
        <f t="shared" si="99"/>
        <v>8622</v>
      </c>
      <c r="N265" s="374">
        <f t="shared" si="99"/>
        <v>8622</v>
      </c>
      <c r="O265" s="374">
        <f t="shared" si="99"/>
        <v>1306</v>
      </c>
      <c r="P265" s="374">
        <f t="shared" si="99"/>
        <v>1306</v>
      </c>
      <c r="Q265" s="374">
        <f t="shared" si="99"/>
        <v>1480</v>
      </c>
      <c r="R265" s="374">
        <f t="shared" si="99"/>
        <v>1480</v>
      </c>
      <c r="S265" s="374">
        <f t="shared" si="99"/>
        <v>13837</v>
      </c>
      <c r="T265" s="374">
        <f t="shared" si="99"/>
        <v>13837</v>
      </c>
      <c r="U265" s="374">
        <f t="shared" si="99"/>
        <v>47423</v>
      </c>
      <c r="V265" s="374">
        <f t="shared" si="99"/>
        <v>47423</v>
      </c>
      <c r="W265" s="374">
        <f t="shared" si="99"/>
        <v>0</v>
      </c>
      <c r="X265" s="374">
        <f t="shared" si="99"/>
        <v>0</v>
      </c>
      <c r="Y265" s="374">
        <f t="shared" si="99"/>
        <v>0</v>
      </c>
      <c r="Z265" s="374">
        <f t="shared" si="99"/>
        <v>0</v>
      </c>
      <c r="AA265" s="315"/>
      <c r="AB265" s="299"/>
    </row>
    <row r="266" spans="1:28" s="289" customFormat="1" ht="56.25">
      <c r="A266" s="311" t="s">
        <v>13</v>
      </c>
      <c r="B266" s="312" t="s">
        <v>249</v>
      </c>
      <c r="C266" s="313" t="s">
        <v>250</v>
      </c>
      <c r="D266" s="313" t="s">
        <v>251</v>
      </c>
      <c r="E266" s="313" t="s">
        <v>252</v>
      </c>
      <c r="F266" s="327" t="s">
        <v>253</v>
      </c>
      <c r="G266" s="116">
        <f>H266</f>
        <v>31836</v>
      </c>
      <c r="H266" s="116">
        <v>31836</v>
      </c>
      <c r="I266" s="116">
        <f>J266</f>
        <v>28940</v>
      </c>
      <c r="J266" s="116">
        <v>28940</v>
      </c>
      <c r="K266" s="315"/>
      <c r="L266" s="315"/>
      <c r="M266" s="110">
        <v>6709</v>
      </c>
      <c r="N266" s="110">
        <v>6709</v>
      </c>
      <c r="O266" s="110">
        <v>1306</v>
      </c>
      <c r="P266" s="110">
        <v>1306</v>
      </c>
      <c r="Q266" s="110">
        <v>1000</v>
      </c>
      <c r="R266" s="110">
        <v>1000</v>
      </c>
      <c r="S266" s="110">
        <v>6709</v>
      </c>
      <c r="T266" s="110">
        <v>6709</v>
      </c>
      <c r="U266" s="116">
        <f>V266</f>
        <v>28940</v>
      </c>
      <c r="V266" s="116">
        <v>28940</v>
      </c>
      <c r="W266" s="110"/>
      <c r="X266" s="110"/>
      <c r="Y266" s="315"/>
      <c r="Z266" s="315"/>
      <c r="AA266" s="315"/>
      <c r="AB266" s="314" t="s">
        <v>594</v>
      </c>
    </row>
    <row r="267" spans="1:28" s="289" customFormat="1" ht="75">
      <c r="A267" s="311" t="s">
        <v>0</v>
      </c>
      <c r="B267" s="312" t="s">
        <v>1102</v>
      </c>
      <c r="C267" s="313" t="s">
        <v>1103</v>
      </c>
      <c r="D267" s="313" t="s">
        <v>1104</v>
      </c>
      <c r="E267" s="313" t="s">
        <v>1105</v>
      </c>
      <c r="F267" s="327" t="s">
        <v>1106</v>
      </c>
      <c r="G267" s="116">
        <v>1916</v>
      </c>
      <c r="H267" s="116">
        <v>1916</v>
      </c>
      <c r="I267" s="116">
        <v>1997</v>
      </c>
      <c r="J267" s="116">
        <v>1997</v>
      </c>
      <c r="K267" s="315"/>
      <c r="L267" s="315"/>
      <c r="M267" s="110">
        <v>1913</v>
      </c>
      <c r="N267" s="110">
        <v>1913</v>
      </c>
      <c r="O267" s="110">
        <v>0</v>
      </c>
      <c r="P267" s="110"/>
      <c r="Q267" s="110">
        <v>480</v>
      </c>
      <c r="R267" s="110">
        <v>480</v>
      </c>
      <c r="S267" s="110">
        <v>1850</v>
      </c>
      <c r="T267" s="110">
        <v>1850</v>
      </c>
      <c r="U267" s="116">
        <v>1913</v>
      </c>
      <c r="V267" s="116">
        <v>1913</v>
      </c>
      <c r="W267" s="110">
        <v>0</v>
      </c>
      <c r="X267" s="110"/>
      <c r="Y267" s="315"/>
      <c r="Z267" s="315"/>
      <c r="AA267" s="315"/>
      <c r="AB267" s="314" t="s">
        <v>1079</v>
      </c>
    </row>
    <row r="268" spans="1:28" s="289" customFormat="1" ht="112.5">
      <c r="A268" s="311" t="s">
        <v>5</v>
      </c>
      <c r="B268" s="387" t="s">
        <v>1284</v>
      </c>
      <c r="C268" s="313" t="s">
        <v>396</v>
      </c>
      <c r="D268" s="313" t="s">
        <v>1285</v>
      </c>
      <c r="E268" s="318" t="s">
        <v>225</v>
      </c>
      <c r="F268" s="313" t="s">
        <v>1286</v>
      </c>
      <c r="G268" s="97">
        <v>34935</v>
      </c>
      <c r="H268" s="97">
        <v>18365</v>
      </c>
      <c r="I268" s="394">
        <v>16570</v>
      </c>
      <c r="J268" s="394">
        <v>16570</v>
      </c>
      <c r="K268" s="315"/>
      <c r="L268" s="315"/>
      <c r="M268" s="395"/>
      <c r="N268" s="395"/>
      <c r="O268" s="395"/>
      <c r="P268" s="395"/>
      <c r="Q268" s="395"/>
      <c r="R268" s="395"/>
      <c r="S268" s="395">
        <v>5278</v>
      </c>
      <c r="T268" s="395">
        <v>5278</v>
      </c>
      <c r="U268" s="395">
        <v>16570</v>
      </c>
      <c r="V268" s="395">
        <v>16570</v>
      </c>
      <c r="W268" s="395">
        <v>0</v>
      </c>
      <c r="X268" s="395"/>
      <c r="Y268" s="315"/>
      <c r="Z268" s="315"/>
      <c r="AA268" s="314" t="s">
        <v>1287</v>
      </c>
      <c r="AB268" s="314" t="s">
        <v>1228</v>
      </c>
    </row>
    <row r="269" spans="1:28" s="289" customFormat="1" ht="37.5">
      <c r="A269" s="303" t="s">
        <v>41</v>
      </c>
      <c r="B269" s="304" t="s">
        <v>109</v>
      </c>
      <c r="C269" s="313"/>
      <c r="D269" s="313"/>
      <c r="E269" s="313"/>
      <c r="F269" s="327"/>
      <c r="G269" s="117">
        <f>G270</f>
        <v>2300</v>
      </c>
      <c r="H269" s="117">
        <f t="shared" ref="H269:Z269" si="100">H270</f>
        <v>2000</v>
      </c>
      <c r="I269" s="117">
        <f t="shared" si="100"/>
        <v>2000</v>
      </c>
      <c r="J269" s="117">
        <f t="shared" si="100"/>
        <v>2000</v>
      </c>
      <c r="K269" s="117">
        <f t="shared" si="100"/>
        <v>0</v>
      </c>
      <c r="L269" s="117">
        <f t="shared" si="100"/>
        <v>0</v>
      </c>
      <c r="M269" s="117">
        <f t="shared" si="100"/>
        <v>0</v>
      </c>
      <c r="N269" s="117">
        <f t="shared" si="100"/>
        <v>0</v>
      </c>
      <c r="O269" s="117">
        <f t="shared" si="100"/>
        <v>0</v>
      </c>
      <c r="P269" s="117">
        <f t="shared" si="100"/>
        <v>0</v>
      </c>
      <c r="Q269" s="117">
        <f t="shared" si="100"/>
        <v>0</v>
      </c>
      <c r="R269" s="117">
        <f t="shared" si="100"/>
        <v>0</v>
      </c>
      <c r="S269" s="117">
        <f t="shared" si="100"/>
        <v>1500</v>
      </c>
      <c r="T269" s="117">
        <f t="shared" si="100"/>
        <v>1500</v>
      </c>
      <c r="U269" s="117">
        <f t="shared" si="100"/>
        <v>1500</v>
      </c>
      <c r="V269" s="117">
        <f t="shared" si="100"/>
        <v>1500</v>
      </c>
      <c r="W269" s="117">
        <f t="shared" si="100"/>
        <v>500</v>
      </c>
      <c r="X269" s="117">
        <f t="shared" si="100"/>
        <v>500</v>
      </c>
      <c r="Y269" s="117">
        <f t="shared" si="100"/>
        <v>0</v>
      </c>
      <c r="Z269" s="117">
        <f t="shared" si="100"/>
        <v>0</v>
      </c>
      <c r="AA269" s="315"/>
      <c r="AB269" s="299"/>
    </row>
    <row r="270" spans="1:28" s="289" customFormat="1" ht="19.5">
      <c r="A270" s="307" t="s">
        <v>46</v>
      </c>
      <c r="B270" s="308" t="s">
        <v>20</v>
      </c>
      <c r="C270" s="313"/>
      <c r="D270" s="313"/>
      <c r="E270" s="313"/>
      <c r="F270" s="327"/>
      <c r="G270" s="118">
        <f>G271</f>
        <v>2300</v>
      </c>
      <c r="H270" s="118">
        <f t="shared" ref="H270:Z270" si="101">H271</f>
        <v>2000</v>
      </c>
      <c r="I270" s="118">
        <f t="shared" si="101"/>
        <v>2000</v>
      </c>
      <c r="J270" s="118">
        <f t="shared" si="101"/>
        <v>2000</v>
      </c>
      <c r="K270" s="118">
        <f t="shared" si="101"/>
        <v>0</v>
      </c>
      <c r="L270" s="118">
        <f t="shared" si="101"/>
        <v>0</v>
      </c>
      <c r="M270" s="118">
        <f t="shared" si="101"/>
        <v>0</v>
      </c>
      <c r="N270" s="118">
        <f t="shared" si="101"/>
        <v>0</v>
      </c>
      <c r="O270" s="118">
        <f t="shared" si="101"/>
        <v>0</v>
      </c>
      <c r="P270" s="118">
        <f t="shared" si="101"/>
        <v>0</v>
      </c>
      <c r="Q270" s="118">
        <f t="shared" si="101"/>
        <v>0</v>
      </c>
      <c r="R270" s="118">
        <f t="shared" si="101"/>
        <v>0</v>
      </c>
      <c r="S270" s="118">
        <f t="shared" si="101"/>
        <v>1500</v>
      </c>
      <c r="T270" s="118">
        <f t="shared" si="101"/>
        <v>1500</v>
      </c>
      <c r="U270" s="118">
        <f t="shared" si="101"/>
        <v>1500</v>
      </c>
      <c r="V270" s="118">
        <f t="shared" si="101"/>
        <v>1500</v>
      </c>
      <c r="W270" s="118">
        <f t="shared" si="101"/>
        <v>500</v>
      </c>
      <c r="X270" s="118">
        <f t="shared" si="101"/>
        <v>500</v>
      </c>
      <c r="Y270" s="118">
        <f t="shared" si="101"/>
        <v>0</v>
      </c>
      <c r="Z270" s="118">
        <f t="shared" si="101"/>
        <v>0</v>
      </c>
      <c r="AA270" s="315"/>
      <c r="AB270" s="299"/>
    </row>
    <row r="271" spans="1:28" s="289" customFormat="1" ht="92.25" customHeight="1">
      <c r="A271" s="311"/>
      <c r="B271" s="387" t="s">
        <v>370</v>
      </c>
      <c r="C271" s="313" t="s">
        <v>371</v>
      </c>
      <c r="D271" s="313" t="s">
        <v>372</v>
      </c>
      <c r="E271" s="318" t="s">
        <v>230</v>
      </c>
      <c r="F271" s="313" t="s">
        <v>373</v>
      </c>
      <c r="G271" s="97">
        <v>2300</v>
      </c>
      <c r="H271" s="97">
        <v>2000</v>
      </c>
      <c r="I271" s="394">
        <v>2000</v>
      </c>
      <c r="J271" s="394">
        <v>2000</v>
      </c>
      <c r="K271" s="315"/>
      <c r="L271" s="315"/>
      <c r="M271" s="395"/>
      <c r="N271" s="395"/>
      <c r="O271" s="395"/>
      <c r="P271" s="395"/>
      <c r="Q271" s="395"/>
      <c r="R271" s="395"/>
      <c r="S271" s="395">
        <v>1500</v>
      </c>
      <c r="T271" s="395">
        <v>1500</v>
      </c>
      <c r="U271" s="395">
        <v>1500</v>
      </c>
      <c r="V271" s="395">
        <v>1500</v>
      </c>
      <c r="W271" s="395">
        <v>500</v>
      </c>
      <c r="X271" s="395">
        <v>500</v>
      </c>
      <c r="Y271" s="315"/>
      <c r="Z271" s="315"/>
      <c r="AA271" s="315"/>
      <c r="AB271" s="314" t="s">
        <v>597</v>
      </c>
    </row>
    <row r="272" spans="1:28" s="289" customFormat="1" ht="37.5">
      <c r="A272" s="303" t="s">
        <v>24</v>
      </c>
      <c r="B272" s="304" t="s">
        <v>115</v>
      </c>
      <c r="C272" s="313"/>
      <c r="D272" s="313"/>
      <c r="E272" s="313"/>
      <c r="F272" s="327"/>
      <c r="G272" s="117">
        <f>G273</f>
        <v>92989</v>
      </c>
      <c r="H272" s="117">
        <f t="shared" ref="H272:Z272" si="102">H273</f>
        <v>82989</v>
      </c>
      <c r="I272" s="117">
        <f t="shared" si="102"/>
        <v>49839</v>
      </c>
      <c r="J272" s="117">
        <f t="shared" si="102"/>
        <v>49839</v>
      </c>
      <c r="K272" s="117">
        <f t="shared" si="102"/>
        <v>0</v>
      </c>
      <c r="L272" s="117">
        <f t="shared" si="102"/>
        <v>0</v>
      </c>
      <c r="M272" s="117">
        <f t="shared" si="102"/>
        <v>0</v>
      </c>
      <c r="N272" s="117">
        <f t="shared" si="102"/>
        <v>0</v>
      </c>
      <c r="O272" s="117">
        <f t="shared" si="102"/>
        <v>0</v>
      </c>
      <c r="P272" s="117">
        <f t="shared" si="102"/>
        <v>0</v>
      </c>
      <c r="Q272" s="117">
        <f t="shared" si="102"/>
        <v>0</v>
      </c>
      <c r="R272" s="117">
        <f t="shared" si="102"/>
        <v>0</v>
      </c>
      <c r="S272" s="117">
        <f t="shared" si="102"/>
        <v>0</v>
      </c>
      <c r="T272" s="117">
        <f t="shared" si="102"/>
        <v>0</v>
      </c>
      <c r="U272" s="117">
        <f t="shared" si="102"/>
        <v>0</v>
      </c>
      <c r="V272" s="117">
        <f t="shared" si="102"/>
        <v>0</v>
      </c>
      <c r="W272" s="117">
        <f t="shared" si="102"/>
        <v>64048</v>
      </c>
      <c r="X272" s="117">
        <f t="shared" si="102"/>
        <v>64048</v>
      </c>
      <c r="Y272" s="117">
        <f t="shared" si="102"/>
        <v>0</v>
      </c>
      <c r="Z272" s="117">
        <f t="shared" si="102"/>
        <v>0</v>
      </c>
      <c r="AA272" s="315"/>
      <c r="AB272" s="299"/>
    </row>
    <row r="273" spans="1:28" s="289" customFormat="1" ht="19.5">
      <c r="A273" s="307" t="s">
        <v>19</v>
      </c>
      <c r="B273" s="308" t="s">
        <v>20</v>
      </c>
      <c r="C273" s="313"/>
      <c r="D273" s="313"/>
      <c r="E273" s="313"/>
      <c r="F273" s="327"/>
      <c r="G273" s="118">
        <f>SUM(G274:G276)</f>
        <v>92989</v>
      </c>
      <c r="H273" s="118">
        <f t="shared" ref="H273:Z273" si="103">SUM(H274:H276)</f>
        <v>82989</v>
      </c>
      <c r="I273" s="118">
        <f t="shared" si="103"/>
        <v>49839</v>
      </c>
      <c r="J273" s="118">
        <f t="shared" si="103"/>
        <v>49839</v>
      </c>
      <c r="K273" s="118">
        <f t="shared" si="103"/>
        <v>0</v>
      </c>
      <c r="L273" s="118">
        <f t="shared" si="103"/>
        <v>0</v>
      </c>
      <c r="M273" s="118">
        <f t="shared" si="103"/>
        <v>0</v>
      </c>
      <c r="N273" s="118">
        <f t="shared" si="103"/>
        <v>0</v>
      </c>
      <c r="O273" s="118">
        <f t="shared" si="103"/>
        <v>0</v>
      </c>
      <c r="P273" s="118">
        <f t="shared" si="103"/>
        <v>0</v>
      </c>
      <c r="Q273" s="118">
        <f t="shared" si="103"/>
        <v>0</v>
      </c>
      <c r="R273" s="118">
        <f t="shared" si="103"/>
        <v>0</v>
      </c>
      <c r="S273" s="118">
        <f t="shared" si="103"/>
        <v>0</v>
      </c>
      <c r="T273" s="118">
        <f t="shared" si="103"/>
        <v>0</v>
      </c>
      <c r="U273" s="118">
        <f t="shared" si="103"/>
        <v>0</v>
      </c>
      <c r="V273" s="118">
        <f t="shared" si="103"/>
        <v>0</v>
      </c>
      <c r="W273" s="118">
        <f t="shared" si="103"/>
        <v>64048</v>
      </c>
      <c r="X273" s="118">
        <f t="shared" si="103"/>
        <v>64048</v>
      </c>
      <c r="Y273" s="118">
        <f t="shared" si="103"/>
        <v>0</v>
      </c>
      <c r="Z273" s="118">
        <f t="shared" si="103"/>
        <v>0</v>
      </c>
      <c r="AA273" s="315"/>
      <c r="AB273" s="299"/>
    </row>
    <row r="274" spans="1:28" s="289" customFormat="1" ht="112.5">
      <c r="A274" s="396" t="s">
        <v>13</v>
      </c>
      <c r="B274" s="397" t="s">
        <v>293</v>
      </c>
      <c r="C274" s="313" t="s">
        <v>294</v>
      </c>
      <c r="D274" s="313" t="s">
        <v>295</v>
      </c>
      <c r="E274" s="313" t="s">
        <v>267</v>
      </c>
      <c r="F274" s="313"/>
      <c r="G274" s="110">
        <f>H274</f>
        <v>19941</v>
      </c>
      <c r="H274" s="110">
        <v>19941</v>
      </c>
      <c r="I274" s="110">
        <f>J274</f>
        <v>0</v>
      </c>
      <c r="J274" s="110">
        <f>SUM(K274:L274)</f>
        <v>0</v>
      </c>
      <c r="K274" s="110">
        <v>0</v>
      </c>
      <c r="L274" s="110">
        <v>0</v>
      </c>
      <c r="M274" s="110">
        <f>N274</f>
        <v>0</v>
      </c>
      <c r="N274" s="110">
        <v>0</v>
      </c>
      <c r="O274" s="110">
        <f>P274</f>
        <v>0</v>
      </c>
      <c r="P274" s="110">
        <v>0</v>
      </c>
      <c r="Q274" s="110">
        <f>R274</f>
        <v>0</v>
      </c>
      <c r="R274" s="110">
        <v>0</v>
      </c>
      <c r="S274" s="110">
        <f>T274</f>
        <v>0</v>
      </c>
      <c r="T274" s="110">
        <v>0</v>
      </c>
      <c r="U274" s="110">
        <f>V274</f>
        <v>0</v>
      </c>
      <c r="V274" s="110">
        <v>0</v>
      </c>
      <c r="W274" s="110">
        <f>X274</f>
        <v>1000</v>
      </c>
      <c r="X274" s="110">
        <v>1000</v>
      </c>
      <c r="Y274" s="110">
        <v>0</v>
      </c>
      <c r="Z274" s="110">
        <v>0</v>
      </c>
      <c r="AA274" s="313" t="s">
        <v>296</v>
      </c>
      <c r="AB274" s="314" t="s">
        <v>595</v>
      </c>
    </row>
    <row r="275" spans="1:28" s="289" customFormat="1" ht="112.5">
      <c r="A275" s="396" t="s">
        <v>0</v>
      </c>
      <c r="B275" s="397" t="s">
        <v>297</v>
      </c>
      <c r="C275" s="313" t="s">
        <v>298</v>
      </c>
      <c r="D275" s="313" t="s">
        <v>299</v>
      </c>
      <c r="E275" s="313" t="s">
        <v>300</v>
      </c>
      <c r="F275" s="313"/>
      <c r="G275" s="110">
        <f>H275</f>
        <v>13209</v>
      </c>
      <c r="H275" s="110">
        <v>13209</v>
      </c>
      <c r="I275" s="110">
        <f>J275</f>
        <v>0</v>
      </c>
      <c r="J275" s="110">
        <f>SUM(K275:L275)</f>
        <v>0</v>
      </c>
      <c r="K275" s="110">
        <v>0</v>
      </c>
      <c r="L275" s="110">
        <v>0</v>
      </c>
      <c r="M275" s="110">
        <f>N275</f>
        <v>0</v>
      </c>
      <c r="N275" s="110">
        <v>0</v>
      </c>
      <c r="O275" s="110">
        <f>P275</f>
        <v>0</v>
      </c>
      <c r="P275" s="110">
        <v>0</v>
      </c>
      <c r="Q275" s="110">
        <f>R275</f>
        <v>0</v>
      </c>
      <c r="R275" s="110">
        <v>0</v>
      </c>
      <c r="S275" s="110">
        <f>T275</f>
        <v>0</v>
      </c>
      <c r="T275" s="110">
        <v>0</v>
      </c>
      <c r="U275" s="110">
        <f>V275</f>
        <v>0</v>
      </c>
      <c r="V275" s="110">
        <v>0</v>
      </c>
      <c r="W275" s="110">
        <f>X275</f>
        <v>13209</v>
      </c>
      <c r="X275" s="110">
        <v>13209</v>
      </c>
      <c r="Y275" s="110">
        <v>0</v>
      </c>
      <c r="Z275" s="110">
        <v>0</v>
      </c>
      <c r="AA275" s="313" t="s">
        <v>301</v>
      </c>
      <c r="AB275" s="314" t="s">
        <v>595</v>
      </c>
    </row>
    <row r="276" spans="1:28" s="289" customFormat="1" ht="56.25" customHeight="1">
      <c r="A276" s="396" t="s">
        <v>5</v>
      </c>
      <c r="B276" s="397" t="s">
        <v>1107</v>
      </c>
      <c r="C276" s="313" t="s">
        <v>465</v>
      </c>
      <c r="D276" s="313"/>
      <c r="E276" s="313"/>
      <c r="F276" s="313"/>
      <c r="G276" s="110">
        <v>59839</v>
      </c>
      <c r="H276" s="110">
        <v>49839</v>
      </c>
      <c r="I276" s="110">
        <v>49839</v>
      </c>
      <c r="J276" s="110">
        <v>49839</v>
      </c>
      <c r="K276" s="110"/>
      <c r="L276" s="110"/>
      <c r="M276" s="110"/>
      <c r="N276" s="110"/>
      <c r="O276" s="110"/>
      <c r="P276" s="110"/>
      <c r="Q276" s="110"/>
      <c r="R276" s="110"/>
      <c r="S276" s="110">
        <v>0</v>
      </c>
      <c r="T276" s="110"/>
      <c r="U276" s="110"/>
      <c r="V276" s="110"/>
      <c r="W276" s="110">
        <v>49839</v>
      </c>
      <c r="X276" s="110">
        <v>49839</v>
      </c>
      <c r="Y276" s="110"/>
      <c r="Z276" s="110"/>
      <c r="AA276" s="313"/>
      <c r="AB276" s="314" t="s">
        <v>1079</v>
      </c>
    </row>
    <row r="277" spans="1:28" s="289" customFormat="1" ht="37.5">
      <c r="A277" s="391" t="s">
        <v>602</v>
      </c>
      <c r="B277" s="301" t="s">
        <v>241</v>
      </c>
      <c r="C277" s="297"/>
      <c r="D277" s="297"/>
      <c r="E277" s="297"/>
      <c r="F277" s="297"/>
      <c r="G277" s="298">
        <f>G278+G285</f>
        <v>17966642</v>
      </c>
      <c r="H277" s="298">
        <f t="shared" ref="H277:Z277" si="104">H278+H285</f>
        <v>3128946</v>
      </c>
      <c r="I277" s="298">
        <f t="shared" si="104"/>
        <v>4428939</v>
      </c>
      <c r="J277" s="298">
        <f t="shared" si="104"/>
        <v>2652290</v>
      </c>
      <c r="K277" s="298">
        <f t="shared" si="104"/>
        <v>0</v>
      </c>
      <c r="L277" s="298">
        <f t="shared" si="104"/>
        <v>0</v>
      </c>
      <c r="M277" s="298">
        <f t="shared" si="104"/>
        <v>4160509</v>
      </c>
      <c r="N277" s="298">
        <f t="shared" si="104"/>
        <v>806626</v>
      </c>
      <c r="O277" s="298">
        <f t="shared" si="104"/>
        <v>2122758.7200000002</v>
      </c>
      <c r="P277" s="298">
        <f t="shared" si="104"/>
        <v>361049.62</v>
      </c>
      <c r="Q277" s="298">
        <f t="shared" si="104"/>
        <v>2912682.7199999997</v>
      </c>
      <c r="R277" s="298">
        <f t="shared" si="104"/>
        <v>196633.62</v>
      </c>
      <c r="S277" s="298">
        <f t="shared" si="104"/>
        <v>4154485</v>
      </c>
      <c r="T277" s="298">
        <f t="shared" si="104"/>
        <v>800602</v>
      </c>
      <c r="U277" s="298">
        <f t="shared" si="104"/>
        <v>3832598.4807279999</v>
      </c>
      <c r="V277" s="298">
        <f t="shared" si="104"/>
        <v>2327155.4807279999</v>
      </c>
      <c r="W277" s="298">
        <f t="shared" si="104"/>
        <v>2851254</v>
      </c>
      <c r="X277" s="298">
        <f t="shared" si="104"/>
        <v>344674</v>
      </c>
      <c r="Y277" s="298">
        <f t="shared" si="104"/>
        <v>0</v>
      </c>
      <c r="Z277" s="298">
        <f t="shared" si="104"/>
        <v>0</v>
      </c>
      <c r="AA277" s="297"/>
      <c r="AB277" s="299"/>
    </row>
    <row r="278" spans="1:28" s="289" customFormat="1">
      <c r="A278" s="302" t="s">
        <v>38</v>
      </c>
      <c r="B278" s="301" t="s">
        <v>83</v>
      </c>
      <c r="C278" s="297"/>
      <c r="D278" s="297"/>
      <c r="E278" s="297"/>
      <c r="F278" s="297"/>
      <c r="G278" s="398">
        <f>G279+G283</f>
        <v>0</v>
      </c>
      <c r="H278" s="398">
        <f t="shared" ref="H278:Z278" si="105">H279+H283</f>
        <v>0</v>
      </c>
      <c r="I278" s="398">
        <f t="shared" si="105"/>
        <v>0</v>
      </c>
      <c r="J278" s="398">
        <f t="shared" si="105"/>
        <v>0</v>
      </c>
      <c r="K278" s="398">
        <f t="shared" si="105"/>
        <v>0</v>
      </c>
      <c r="L278" s="398">
        <f t="shared" si="105"/>
        <v>0</v>
      </c>
      <c r="M278" s="398">
        <f t="shared" si="105"/>
        <v>0</v>
      </c>
      <c r="N278" s="398">
        <f t="shared" si="105"/>
        <v>0</v>
      </c>
      <c r="O278" s="398">
        <f t="shared" si="105"/>
        <v>0</v>
      </c>
      <c r="P278" s="398">
        <f t="shared" si="105"/>
        <v>0</v>
      </c>
      <c r="Q278" s="398">
        <f t="shared" si="105"/>
        <v>0</v>
      </c>
      <c r="R278" s="398">
        <f t="shared" si="105"/>
        <v>0</v>
      </c>
      <c r="S278" s="398">
        <f t="shared" si="105"/>
        <v>0</v>
      </c>
      <c r="T278" s="398">
        <f t="shared" si="105"/>
        <v>0</v>
      </c>
      <c r="U278" s="398">
        <f t="shared" si="105"/>
        <v>0</v>
      </c>
      <c r="V278" s="398">
        <f t="shared" si="105"/>
        <v>0</v>
      </c>
      <c r="W278" s="398">
        <f t="shared" si="105"/>
        <v>6580</v>
      </c>
      <c r="X278" s="398">
        <f t="shared" si="105"/>
        <v>0</v>
      </c>
      <c r="Y278" s="398">
        <f t="shared" si="105"/>
        <v>0</v>
      </c>
      <c r="Z278" s="398">
        <f t="shared" si="105"/>
        <v>0</v>
      </c>
      <c r="AA278" s="297"/>
      <c r="AB278" s="299"/>
    </row>
    <row r="279" spans="1:28" s="401" customFormat="1" ht="19.5">
      <c r="A279" s="307" t="s">
        <v>45</v>
      </c>
      <c r="B279" s="308" t="s">
        <v>17</v>
      </c>
      <c r="C279" s="399"/>
      <c r="D279" s="399"/>
      <c r="E279" s="399"/>
      <c r="F279" s="399"/>
      <c r="G279" s="400">
        <f>SUM(G280:G282)</f>
        <v>0</v>
      </c>
      <c r="H279" s="400">
        <f t="shared" ref="H279:Z279" si="106">SUM(H280:H282)</f>
        <v>0</v>
      </c>
      <c r="I279" s="400">
        <f t="shared" si="106"/>
        <v>0</v>
      </c>
      <c r="J279" s="400">
        <f t="shared" si="106"/>
        <v>0</v>
      </c>
      <c r="K279" s="400">
        <f t="shared" si="106"/>
        <v>0</v>
      </c>
      <c r="L279" s="400">
        <f t="shared" si="106"/>
        <v>0</v>
      </c>
      <c r="M279" s="400">
        <f t="shared" si="106"/>
        <v>0</v>
      </c>
      <c r="N279" s="400">
        <f t="shared" si="106"/>
        <v>0</v>
      </c>
      <c r="O279" s="400">
        <f t="shared" si="106"/>
        <v>0</v>
      </c>
      <c r="P279" s="400">
        <f t="shared" si="106"/>
        <v>0</v>
      </c>
      <c r="Q279" s="400">
        <f t="shared" si="106"/>
        <v>0</v>
      </c>
      <c r="R279" s="400">
        <f t="shared" si="106"/>
        <v>0</v>
      </c>
      <c r="S279" s="400">
        <f t="shared" si="106"/>
        <v>0</v>
      </c>
      <c r="T279" s="400">
        <f t="shared" si="106"/>
        <v>0</v>
      </c>
      <c r="U279" s="400">
        <f t="shared" si="106"/>
        <v>0</v>
      </c>
      <c r="V279" s="400">
        <f t="shared" si="106"/>
        <v>0</v>
      </c>
      <c r="W279" s="400">
        <f t="shared" si="106"/>
        <v>5580</v>
      </c>
      <c r="X279" s="400">
        <f t="shared" si="106"/>
        <v>0</v>
      </c>
      <c r="Y279" s="400">
        <f t="shared" si="106"/>
        <v>0</v>
      </c>
      <c r="Z279" s="400">
        <f t="shared" si="106"/>
        <v>0</v>
      </c>
      <c r="AA279" s="399"/>
      <c r="AB279" s="368"/>
    </row>
    <row r="280" spans="1:28" s="289" customFormat="1" ht="82.5" customHeight="1">
      <c r="A280" s="311" t="s">
        <v>13</v>
      </c>
      <c r="B280" s="312" t="s">
        <v>200</v>
      </c>
      <c r="C280" s="297" t="s">
        <v>201</v>
      </c>
      <c r="D280" s="297" t="s">
        <v>202</v>
      </c>
      <c r="E280" s="297"/>
      <c r="F280" s="297"/>
      <c r="G280" s="297"/>
      <c r="H280" s="297"/>
      <c r="I280" s="297"/>
      <c r="J280" s="297"/>
      <c r="K280" s="297"/>
      <c r="L280" s="297"/>
      <c r="M280" s="297"/>
      <c r="N280" s="297"/>
      <c r="O280" s="297"/>
      <c r="P280" s="297"/>
      <c r="Q280" s="297"/>
      <c r="R280" s="297"/>
      <c r="S280" s="297"/>
      <c r="T280" s="297"/>
      <c r="U280" s="297"/>
      <c r="V280" s="297"/>
      <c r="W280" s="119">
        <v>2220</v>
      </c>
      <c r="X280" s="119"/>
      <c r="Y280" s="297"/>
      <c r="Z280" s="297"/>
      <c r="AA280" s="297"/>
      <c r="AB280" s="314" t="s">
        <v>594</v>
      </c>
    </row>
    <row r="281" spans="1:28" s="289" customFormat="1" ht="48" customHeight="1">
      <c r="A281" s="311" t="s">
        <v>0</v>
      </c>
      <c r="B281" s="312" t="s">
        <v>203</v>
      </c>
      <c r="C281" s="297" t="s">
        <v>204</v>
      </c>
      <c r="D281" s="297" t="s">
        <v>205</v>
      </c>
      <c r="E281" s="297"/>
      <c r="F281" s="297"/>
      <c r="G281" s="297"/>
      <c r="H281" s="297"/>
      <c r="I281" s="297"/>
      <c r="J281" s="297"/>
      <c r="K281" s="297"/>
      <c r="L281" s="297"/>
      <c r="M281" s="297"/>
      <c r="N281" s="297"/>
      <c r="O281" s="297"/>
      <c r="P281" s="297"/>
      <c r="Q281" s="297"/>
      <c r="R281" s="297"/>
      <c r="S281" s="297"/>
      <c r="T281" s="297"/>
      <c r="U281" s="297"/>
      <c r="V281" s="297"/>
      <c r="W281" s="119">
        <v>2260</v>
      </c>
      <c r="X281" s="119"/>
      <c r="Y281" s="297"/>
      <c r="Z281" s="297"/>
      <c r="AA281" s="297"/>
      <c r="AB281" s="314" t="s">
        <v>594</v>
      </c>
    </row>
    <row r="282" spans="1:28" s="279" customFormat="1" ht="93.75">
      <c r="A282" s="311" t="s">
        <v>5</v>
      </c>
      <c r="B282" s="312" t="s">
        <v>206</v>
      </c>
      <c r="C282" s="297" t="s">
        <v>207</v>
      </c>
      <c r="D282" s="297" t="s">
        <v>208</v>
      </c>
      <c r="E282" s="297"/>
      <c r="F282" s="297"/>
      <c r="G282" s="297"/>
      <c r="H282" s="297"/>
      <c r="I282" s="297"/>
      <c r="J282" s="297"/>
      <c r="K282" s="297"/>
      <c r="L282" s="297"/>
      <c r="M282" s="297"/>
      <c r="N282" s="297"/>
      <c r="O282" s="297"/>
      <c r="P282" s="297"/>
      <c r="Q282" s="297"/>
      <c r="R282" s="297"/>
      <c r="S282" s="297"/>
      <c r="T282" s="297"/>
      <c r="U282" s="297"/>
      <c r="V282" s="297"/>
      <c r="W282" s="119">
        <v>1100</v>
      </c>
      <c r="X282" s="119"/>
      <c r="Y282" s="297"/>
      <c r="Z282" s="297"/>
      <c r="AA282" s="297"/>
      <c r="AB282" s="314" t="s">
        <v>594</v>
      </c>
    </row>
    <row r="283" spans="1:28" s="278" customFormat="1" ht="19.5">
      <c r="A283" s="307" t="s">
        <v>46</v>
      </c>
      <c r="B283" s="308" t="s">
        <v>18</v>
      </c>
      <c r="C283" s="297"/>
      <c r="D283" s="297"/>
      <c r="E283" s="297"/>
      <c r="F283" s="297"/>
      <c r="G283" s="400">
        <f>G284</f>
        <v>0</v>
      </c>
      <c r="H283" s="400">
        <f t="shared" ref="H283:Z283" si="107">H284</f>
        <v>0</v>
      </c>
      <c r="I283" s="400">
        <f t="shared" si="107"/>
        <v>0</v>
      </c>
      <c r="J283" s="400">
        <f t="shared" si="107"/>
        <v>0</v>
      </c>
      <c r="K283" s="400">
        <f t="shared" si="107"/>
        <v>0</v>
      </c>
      <c r="L283" s="400">
        <f t="shared" si="107"/>
        <v>0</v>
      </c>
      <c r="M283" s="400">
        <f t="shared" si="107"/>
        <v>0</v>
      </c>
      <c r="N283" s="400">
        <f t="shared" si="107"/>
        <v>0</v>
      </c>
      <c r="O283" s="400">
        <f t="shared" si="107"/>
        <v>0</v>
      </c>
      <c r="P283" s="400">
        <f t="shared" si="107"/>
        <v>0</v>
      </c>
      <c r="Q283" s="400">
        <f t="shared" si="107"/>
        <v>0</v>
      </c>
      <c r="R283" s="400">
        <f t="shared" si="107"/>
        <v>0</v>
      </c>
      <c r="S283" s="400">
        <f t="shared" si="107"/>
        <v>0</v>
      </c>
      <c r="T283" s="400">
        <f t="shared" si="107"/>
        <v>0</v>
      </c>
      <c r="U283" s="400">
        <f t="shared" si="107"/>
        <v>0</v>
      </c>
      <c r="V283" s="400">
        <f t="shared" si="107"/>
        <v>0</v>
      </c>
      <c r="W283" s="400">
        <f t="shared" si="107"/>
        <v>1000</v>
      </c>
      <c r="X283" s="400">
        <f t="shared" si="107"/>
        <v>0</v>
      </c>
      <c r="Y283" s="400">
        <f t="shared" si="107"/>
        <v>0</v>
      </c>
      <c r="Z283" s="400">
        <f t="shared" si="107"/>
        <v>0</v>
      </c>
      <c r="AA283" s="297"/>
      <c r="AB283" s="380"/>
    </row>
    <row r="284" spans="1:28" ht="37.5">
      <c r="A284" s="311"/>
      <c r="B284" s="312" t="s">
        <v>209</v>
      </c>
      <c r="C284" s="297" t="s">
        <v>210</v>
      </c>
      <c r="D284" s="297" t="s">
        <v>211</v>
      </c>
      <c r="E284" s="297"/>
      <c r="F284" s="297"/>
      <c r="G284" s="297"/>
      <c r="H284" s="297"/>
      <c r="I284" s="297"/>
      <c r="J284" s="297"/>
      <c r="K284" s="297"/>
      <c r="L284" s="297"/>
      <c r="M284" s="297"/>
      <c r="N284" s="297"/>
      <c r="O284" s="297"/>
      <c r="P284" s="297"/>
      <c r="Q284" s="297"/>
      <c r="R284" s="297"/>
      <c r="S284" s="297"/>
      <c r="T284" s="297"/>
      <c r="U284" s="297"/>
      <c r="V284" s="297"/>
      <c r="W284" s="119">
        <v>1000</v>
      </c>
      <c r="X284" s="119"/>
      <c r="Y284" s="297"/>
      <c r="Z284" s="297"/>
      <c r="AA284" s="297"/>
      <c r="AB284" s="314" t="s">
        <v>594</v>
      </c>
    </row>
    <row r="285" spans="1:28">
      <c r="A285" s="302" t="s">
        <v>43</v>
      </c>
      <c r="B285" s="301" t="s">
        <v>58</v>
      </c>
      <c r="C285" s="297"/>
      <c r="D285" s="297"/>
      <c r="E285" s="297"/>
      <c r="F285" s="297"/>
      <c r="G285" s="298">
        <f t="shared" ref="G285:Z285" si="108">G286+G300+G308+G314</f>
        <v>17966642</v>
      </c>
      <c r="H285" s="298">
        <f t="shared" si="108"/>
        <v>3128946</v>
      </c>
      <c r="I285" s="298">
        <f t="shared" si="108"/>
        <v>4428939</v>
      </c>
      <c r="J285" s="298">
        <f t="shared" si="108"/>
        <v>2652290</v>
      </c>
      <c r="K285" s="298">
        <f t="shared" si="108"/>
        <v>0</v>
      </c>
      <c r="L285" s="298">
        <f t="shared" si="108"/>
        <v>0</v>
      </c>
      <c r="M285" s="298">
        <f t="shared" si="108"/>
        <v>4160509</v>
      </c>
      <c r="N285" s="298">
        <f t="shared" si="108"/>
        <v>806626</v>
      </c>
      <c r="O285" s="298">
        <f t="shared" si="108"/>
        <v>2122758.7200000002</v>
      </c>
      <c r="P285" s="298">
        <f t="shared" si="108"/>
        <v>361049.62</v>
      </c>
      <c r="Q285" s="298">
        <f t="shared" si="108"/>
        <v>2912682.7199999997</v>
      </c>
      <c r="R285" s="298">
        <f t="shared" si="108"/>
        <v>196633.62</v>
      </c>
      <c r="S285" s="298">
        <f t="shared" si="108"/>
        <v>4154485</v>
      </c>
      <c r="T285" s="298">
        <f t="shared" si="108"/>
        <v>800602</v>
      </c>
      <c r="U285" s="298">
        <f t="shared" si="108"/>
        <v>3832598.4807279999</v>
      </c>
      <c r="V285" s="298">
        <f t="shared" si="108"/>
        <v>2327155.4807279999</v>
      </c>
      <c r="W285" s="298">
        <f t="shared" si="108"/>
        <v>2844674</v>
      </c>
      <c r="X285" s="298">
        <f t="shared" si="108"/>
        <v>344674</v>
      </c>
      <c r="Y285" s="298">
        <f t="shared" si="108"/>
        <v>0</v>
      </c>
      <c r="Z285" s="298">
        <f t="shared" si="108"/>
        <v>0</v>
      </c>
      <c r="AA285" s="297"/>
      <c r="AB285" s="343"/>
    </row>
    <row r="286" spans="1:28" ht="56.25">
      <c r="A286" s="303" t="s">
        <v>39</v>
      </c>
      <c r="B286" s="304" t="s">
        <v>108</v>
      </c>
      <c r="C286" s="305"/>
      <c r="D286" s="305"/>
      <c r="E286" s="305"/>
      <c r="F286" s="305"/>
      <c r="G286" s="372">
        <f>G287+G292</f>
        <v>2831843</v>
      </c>
      <c r="H286" s="372">
        <f t="shared" ref="H286:Z286" si="109">H287+H292</f>
        <v>1205658</v>
      </c>
      <c r="I286" s="372">
        <f t="shared" si="109"/>
        <v>2452720</v>
      </c>
      <c r="J286" s="372">
        <f t="shared" si="109"/>
        <v>961018</v>
      </c>
      <c r="K286" s="372">
        <f t="shared" si="109"/>
        <v>0</v>
      </c>
      <c r="L286" s="372">
        <f t="shared" si="109"/>
        <v>0</v>
      </c>
      <c r="M286" s="372">
        <f t="shared" si="109"/>
        <v>808746</v>
      </c>
      <c r="N286" s="372">
        <f t="shared" si="109"/>
        <v>418144</v>
      </c>
      <c r="O286" s="372">
        <f t="shared" si="109"/>
        <v>180046.62</v>
      </c>
      <c r="P286" s="372">
        <f t="shared" si="109"/>
        <v>85160.62</v>
      </c>
      <c r="Q286" s="372">
        <f t="shared" si="109"/>
        <v>388717.62</v>
      </c>
      <c r="R286" s="372">
        <f t="shared" si="109"/>
        <v>125641.62</v>
      </c>
      <c r="S286" s="372">
        <f t="shared" si="109"/>
        <v>814530</v>
      </c>
      <c r="T286" s="372">
        <f t="shared" si="109"/>
        <v>423928</v>
      </c>
      <c r="U286" s="372">
        <f t="shared" si="109"/>
        <v>2396932.4807279999</v>
      </c>
      <c r="V286" s="372">
        <f t="shared" si="109"/>
        <v>921738.48072799994</v>
      </c>
      <c r="W286" s="372">
        <f t="shared" si="109"/>
        <v>2011</v>
      </c>
      <c r="X286" s="372">
        <f t="shared" si="109"/>
        <v>2011</v>
      </c>
      <c r="Y286" s="372">
        <f t="shared" si="109"/>
        <v>0</v>
      </c>
      <c r="Z286" s="372">
        <f t="shared" si="109"/>
        <v>0</v>
      </c>
      <c r="AA286" s="306"/>
      <c r="AB286" s="343"/>
    </row>
    <row r="287" spans="1:28" ht="19.5">
      <c r="A287" s="307" t="s">
        <v>46</v>
      </c>
      <c r="B287" s="308" t="s">
        <v>18</v>
      </c>
      <c r="C287" s="309"/>
      <c r="D287" s="309"/>
      <c r="E287" s="309"/>
      <c r="F287" s="309"/>
      <c r="G287" s="374">
        <f>SUM(G288:G291)</f>
        <v>2527565</v>
      </c>
      <c r="H287" s="374">
        <f t="shared" ref="H287:Z287" si="110">SUM(H288:H291)</f>
        <v>937673</v>
      </c>
      <c r="I287" s="374">
        <f t="shared" si="110"/>
        <v>2204434</v>
      </c>
      <c r="J287" s="374">
        <f t="shared" si="110"/>
        <v>712732</v>
      </c>
      <c r="K287" s="374">
        <f t="shared" si="110"/>
        <v>0</v>
      </c>
      <c r="L287" s="374">
        <f t="shared" si="110"/>
        <v>0</v>
      </c>
      <c r="M287" s="374">
        <f t="shared" si="110"/>
        <v>718075</v>
      </c>
      <c r="N287" s="374">
        <f t="shared" si="110"/>
        <v>327473</v>
      </c>
      <c r="O287" s="374">
        <f t="shared" si="110"/>
        <v>149563.62</v>
      </c>
      <c r="P287" s="374">
        <f t="shared" si="110"/>
        <v>54677.62</v>
      </c>
      <c r="Q287" s="374">
        <f t="shared" si="110"/>
        <v>323533.62</v>
      </c>
      <c r="R287" s="374">
        <f t="shared" si="110"/>
        <v>60457.62</v>
      </c>
      <c r="S287" s="374">
        <f t="shared" si="110"/>
        <v>714327</v>
      </c>
      <c r="T287" s="374">
        <f t="shared" si="110"/>
        <v>323725</v>
      </c>
      <c r="U287" s="374">
        <f t="shared" si="110"/>
        <v>2156146</v>
      </c>
      <c r="V287" s="374">
        <f t="shared" si="110"/>
        <v>680952</v>
      </c>
      <c r="W287" s="374">
        <f t="shared" si="110"/>
        <v>0</v>
      </c>
      <c r="X287" s="374">
        <f t="shared" si="110"/>
        <v>0</v>
      </c>
      <c r="Y287" s="374">
        <f t="shared" si="110"/>
        <v>0</v>
      </c>
      <c r="Z287" s="374">
        <f t="shared" si="110"/>
        <v>0</v>
      </c>
      <c r="AA287" s="310"/>
      <c r="AB287" s="343"/>
    </row>
    <row r="288" spans="1:28" ht="112.5">
      <c r="A288" s="311" t="s">
        <v>13</v>
      </c>
      <c r="B288" s="312" t="s">
        <v>212</v>
      </c>
      <c r="C288" s="336" t="s">
        <v>213</v>
      </c>
      <c r="D288" s="336" t="s">
        <v>214</v>
      </c>
      <c r="E288" s="327" t="s">
        <v>215</v>
      </c>
      <c r="F288" s="327" t="s">
        <v>216</v>
      </c>
      <c r="G288" s="120">
        <v>2131006</v>
      </c>
      <c r="H288" s="120">
        <v>731006</v>
      </c>
      <c r="I288" s="110">
        <f>J288+1400000</f>
        <v>1916454</v>
      </c>
      <c r="J288" s="110">
        <v>516454</v>
      </c>
      <c r="K288" s="315"/>
      <c r="L288" s="315"/>
      <c r="M288" s="110">
        <v>608112</v>
      </c>
      <c r="N288" s="110">
        <f>29000+229112</f>
        <v>258112</v>
      </c>
      <c r="O288" s="110">
        <v>79834</v>
      </c>
      <c r="P288" s="110">
        <v>15023</v>
      </c>
      <c r="Q288" s="110">
        <v>222474</v>
      </c>
      <c r="R288" s="110"/>
      <c r="S288" s="110">
        <v>608112</v>
      </c>
      <c r="T288" s="110">
        <v>258112</v>
      </c>
      <c r="U288" s="110">
        <v>1916454</v>
      </c>
      <c r="V288" s="110">
        <v>516454</v>
      </c>
      <c r="W288" s="110"/>
      <c r="X288" s="110"/>
      <c r="Y288" s="315"/>
      <c r="Z288" s="315"/>
      <c r="AA288" s="315"/>
      <c r="AB288" s="314" t="s">
        <v>594</v>
      </c>
    </row>
    <row r="289" spans="1:28" s="278" customFormat="1" ht="99.75" customHeight="1">
      <c r="A289" s="311" t="s">
        <v>0</v>
      </c>
      <c r="B289" s="312" t="s">
        <v>217</v>
      </c>
      <c r="C289" s="313" t="s">
        <v>218</v>
      </c>
      <c r="D289" s="318" t="s">
        <v>219</v>
      </c>
      <c r="E289" s="313" t="s">
        <v>220</v>
      </c>
      <c r="F289" s="313" t="s">
        <v>221</v>
      </c>
      <c r="G289" s="110">
        <f>H289</f>
        <v>104000</v>
      </c>
      <c r="H289" s="110">
        <v>104000</v>
      </c>
      <c r="I289" s="110">
        <f>J289</f>
        <v>93600</v>
      </c>
      <c r="J289" s="110">
        <v>93600</v>
      </c>
      <c r="K289" s="315"/>
      <c r="L289" s="315"/>
      <c r="M289" s="110">
        <v>62000</v>
      </c>
      <c r="N289" s="110">
        <v>62000</v>
      </c>
      <c r="O289" s="110">
        <v>32414</v>
      </c>
      <c r="P289" s="110">
        <v>32414</v>
      </c>
      <c r="Q289" s="110">
        <v>56965</v>
      </c>
      <c r="R289" s="110">
        <v>56965</v>
      </c>
      <c r="S289" s="110">
        <v>62000</v>
      </c>
      <c r="T289" s="110">
        <v>62000</v>
      </c>
      <c r="U289" s="110">
        <f>V289</f>
        <v>65500</v>
      </c>
      <c r="V289" s="110">
        <f>62000+1500+2000</f>
        <v>65500</v>
      </c>
      <c r="W289" s="110"/>
      <c r="X289" s="110"/>
      <c r="Y289" s="315"/>
      <c r="Z289" s="315"/>
      <c r="AA289" s="315"/>
      <c r="AB289" s="314" t="s">
        <v>594</v>
      </c>
    </row>
    <row r="290" spans="1:28" s="278" customFormat="1" ht="112.5">
      <c r="A290" s="396" t="s">
        <v>5</v>
      </c>
      <c r="B290" s="397" t="s">
        <v>254</v>
      </c>
      <c r="C290" s="324" t="s">
        <v>255</v>
      </c>
      <c r="D290" s="324" t="s">
        <v>256</v>
      </c>
      <c r="E290" s="324" t="s">
        <v>257</v>
      </c>
      <c r="F290" s="324" t="s">
        <v>258</v>
      </c>
      <c r="G290" s="110">
        <f>H290+124708</f>
        <v>172788</v>
      </c>
      <c r="H290" s="110">
        <v>48080</v>
      </c>
      <c r="I290" s="110">
        <f>J290+91702</f>
        <v>145251</v>
      </c>
      <c r="J290" s="110">
        <v>53549</v>
      </c>
      <c r="K290" s="110">
        <v>0</v>
      </c>
      <c r="L290" s="110">
        <v>0</v>
      </c>
      <c r="M290" s="110">
        <f>N290+40602</f>
        <v>44215</v>
      </c>
      <c r="N290" s="110">
        <v>3613</v>
      </c>
      <c r="O290" s="110">
        <f>P290+30075</f>
        <v>33567.620000000003</v>
      </c>
      <c r="P290" s="110">
        <v>3492.62</v>
      </c>
      <c r="Q290" s="110">
        <f>R290+40602</f>
        <v>44094.62</v>
      </c>
      <c r="R290" s="110">
        <v>3492.62</v>
      </c>
      <c r="S290" s="110">
        <f>T290+40602</f>
        <v>44215</v>
      </c>
      <c r="T290" s="110">
        <v>3613</v>
      </c>
      <c r="U290" s="110">
        <f>V290+100+1190+33302+40602</f>
        <v>125504</v>
      </c>
      <c r="V290" s="110">
        <f>29254+17443+3613</f>
        <v>50310</v>
      </c>
      <c r="W290" s="110">
        <f>X290</f>
        <v>0</v>
      </c>
      <c r="X290" s="110">
        <f>SUM(Y290:Z290)</f>
        <v>0</v>
      </c>
      <c r="Y290" s="110">
        <v>0</v>
      </c>
      <c r="Z290" s="110">
        <v>0</v>
      </c>
      <c r="AA290" s="324" t="s">
        <v>259</v>
      </c>
      <c r="AB290" s="314" t="s">
        <v>595</v>
      </c>
    </row>
    <row r="291" spans="1:28" s="278" customFormat="1" ht="80.25" customHeight="1">
      <c r="A291" s="396" t="s">
        <v>6</v>
      </c>
      <c r="B291" s="322" t="s">
        <v>314</v>
      </c>
      <c r="C291" s="314" t="s">
        <v>304</v>
      </c>
      <c r="D291" s="314" t="s">
        <v>315</v>
      </c>
      <c r="E291" s="314" t="s">
        <v>316</v>
      </c>
      <c r="F291" s="327" t="s">
        <v>317</v>
      </c>
      <c r="G291" s="402">
        <v>119771</v>
      </c>
      <c r="H291" s="121">
        <v>54587</v>
      </c>
      <c r="I291" s="110">
        <v>49129</v>
      </c>
      <c r="J291" s="110">
        <v>49129</v>
      </c>
      <c r="K291" s="110">
        <v>0</v>
      </c>
      <c r="L291" s="110">
        <v>0</v>
      </c>
      <c r="M291" s="110">
        <v>3748</v>
      </c>
      <c r="N291" s="110">
        <v>3748</v>
      </c>
      <c r="O291" s="110">
        <v>3748</v>
      </c>
      <c r="P291" s="110">
        <v>3748</v>
      </c>
      <c r="Q291" s="110"/>
      <c r="R291" s="110"/>
      <c r="S291" s="110"/>
      <c r="T291" s="110"/>
      <c r="U291" s="110">
        <v>48688</v>
      </c>
      <c r="V291" s="110">
        <v>48688</v>
      </c>
      <c r="W291" s="110">
        <v>0</v>
      </c>
      <c r="X291" s="110">
        <v>0</v>
      </c>
      <c r="Y291" s="110">
        <v>0</v>
      </c>
      <c r="Z291" s="110">
        <v>0</v>
      </c>
      <c r="AA291" s="315"/>
      <c r="AB291" s="329" t="s">
        <v>596</v>
      </c>
    </row>
    <row r="292" spans="1:28" ht="19.5">
      <c r="A292" s="307" t="s">
        <v>19</v>
      </c>
      <c r="B292" s="308" t="s">
        <v>20</v>
      </c>
      <c r="C292" s="309"/>
      <c r="D292" s="309"/>
      <c r="E292" s="309"/>
      <c r="F292" s="309"/>
      <c r="G292" s="374">
        <f>SUM(G293:G299)</f>
        <v>304278</v>
      </c>
      <c r="H292" s="374">
        <f t="shared" ref="H292:Z292" si="111">SUM(H293:H299)</f>
        <v>267985</v>
      </c>
      <c r="I292" s="374">
        <f t="shared" si="111"/>
        <v>248286</v>
      </c>
      <c r="J292" s="374">
        <f t="shared" si="111"/>
        <v>248286</v>
      </c>
      <c r="K292" s="374">
        <f t="shared" si="111"/>
        <v>0</v>
      </c>
      <c r="L292" s="374">
        <f t="shared" si="111"/>
        <v>0</v>
      </c>
      <c r="M292" s="374">
        <f t="shared" si="111"/>
        <v>90671</v>
      </c>
      <c r="N292" s="374">
        <f t="shared" si="111"/>
        <v>90671</v>
      </c>
      <c r="O292" s="374">
        <f t="shared" si="111"/>
        <v>30483</v>
      </c>
      <c r="P292" s="374">
        <f t="shared" si="111"/>
        <v>30483</v>
      </c>
      <c r="Q292" s="374">
        <f t="shared" si="111"/>
        <v>65184</v>
      </c>
      <c r="R292" s="374">
        <f t="shared" si="111"/>
        <v>65184</v>
      </c>
      <c r="S292" s="374">
        <f t="shared" si="111"/>
        <v>100203</v>
      </c>
      <c r="T292" s="374">
        <f t="shared" si="111"/>
        <v>100203</v>
      </c>
      <c r="U292" s="374">
        <f t="shared" si="111"/>
        <v>240786.48072799999</v>
      </c>
      <c r="V292" s="374">
        <f t="shared" si="111"/>
        <v>240786.48072799999</v>
      </c>
      <c r="W292" s="374">
        <f t="shared" si="111"/>
        <v>2011</v>
      </c>
      <c r="X292" s="374">
        <f t="shared" si="111"/>
        <v>2011</v>
      </c>
      <c r="Y292" s="374">
        <f t="shared" si="111"/>
        <v>0</v>
      </c>
      <c r="Z292" s="374">
        <f t="shared" si="111"/>
        <v>0</v>
      </c>
      <c r="AA292" s="310"/>
      <c r="AB292" s="343"/>
    </row>
    <row r="293" spans="1:28" ht="112.5">
      <c r="A293" s="311" t="s">
        <v>13</v>
      </c>
      <c r="B293" s="330" t="s">
        <v>222</v>
      </c>
      <c r="C293" s="313" t="s">
        <v>223</v>
      </c>
      <c r="D293" s="313" t="s">
        <v>224</v>
      </c>
      <c r="E293" s="313" t="s">
        <v>225</v>
      </c>
      <c r="F293" s="313" t="s">
        <v>226</v>
      </c>
      <c r="G293" s="122">
        <f>H293</f>
        <v>78805</v>
      </c>
      <c r="H293" s="122">
        <v>78805</v>
      </c>
      <c r="I293" s="116">
        <f>J293</f>
        <v>70925</v>
      </c>
      <c r="J293" s="116">
        <v>70925</v>
      </c>
      <c r="K293" s="315"/>
      <c r="L293" s="315"/>
      <c r="M293" s="110">
        <v>21000</v>
      </c>
      <c r="N293" s="110">
        <v>21000</v>
      </c>
      <c r="O293" s="110">
        <v>2772</v>
      </c>
      <c r="P293" s="110">
        <v>2772</v>
      </c>
      <c r="Q293" s="110">
        <v>5000</v>
      </c>
      <c r="R293" s="110">
        <v>5000</v>
      </c>
      <c r="S293" s="110">
        <v>21000</v>
      </c>
      <c r="T293" s="110">
        <v>21000</v>
      </c>
      <c r="U293" s="110">
        <f>V293</f>
        <v>70925</v>
      </c>
      <c r="V293" s="110">
        <f>26300+23625+21000</f>
        <v>70925</v>
      </c>
      <c r="W293" s="110"/>
      <c r="X293" s="110"/>
      <c r="Y293" s="315"/>
      <c r="Z293" s="315"/>
      <c r="AA293" s="314"/>
      <c r="AB293" s="314" t="s">
        <v>594</v>
      </c>
    </row>
    <row r="294" spans="1:28" ht="56.25">
      <c r="A294" s="311" t="s">
        <v>0</v>
      </c>
      <c r="B294" s="330" t="s">
        <v>227</v>
      </c>
      <c r="C294" s="313" t="s">
        <v>228</v>
      </c>
      <c r="D294" s="313" t="s">
        <v>229</v>
      </c>
      <c r="E294" s="313" t="s">
        <v>230</v>
      </c>
      <c r="F294" s="313" t="s">
        <v>231</v>
      </c>
      <c r="G294" s="122">
        <v>62100</v>
      </c>
      <c r="H294" s="122">
        <v>62100</v>
      </c>
      <c r="I294" s="116">
        <v>55834</v>
      </c>
      <c r="J294" s="116">
        <v>55834</v>
      </c>
      <c r="K294" s="315"/>
      <c r="L294" s="315"/>
      <c r="M294" s="110">
        <v>45184</v>
      </c>
      <c r="N294" s="110">
        <v>45184</v>
      </c>
      <c r="O294" s="110">
        <v>8597</v>
      </c>
      <c r="P294" s="110">
        <v>8597</v>
      </c>
      <c r="Q294" s="110">
        <v>35597</v>
      </c>
      <c r="R294" s="110">
        <v>35597</v>
      </c>
      <c r="S294" s="110">
        <v>45184</v>
      </c>
      <c r="T294" s="110">
        <v>45184</v>
      </c>
      <c r="U294" s="110">
        <f>V294</f>
        <v>55834</v>
      </c>
      <c r="V294" s="110">
        <f>650+10000+45184</f>
        <v>55834</v>
      </c>
      <c r="W294" s="110"/>
      <c r="X294" s="110"/>
      <c r="Y294" s="315"/>
      <c r="Z294" s="315"/>
      <c r="AA294" s="314"/>
      <c r="AB294" s="314" t="s">
        <v>594</v>
      </c>
    </row>
    <row r="295" spans="1:28" ht="59.25" customHeight="1">
      <c r="A295" s="311" t="s">
        <v>5</v>
      </c>
      <c r="B295" s="312" t="s">
        <v>523</v>
      </c>
      <c r="C295" s="313" t="s">
        <v>250</v>
      </c>
      <c r="D295" s="313" t="s">
        <v>524</v>
      </c>
      <c r="E295" s="313" t="s">
        <v>316</v>
      </c>
      <c r="F295" s="313" t="s">
        <v>525</v>
      </c>
      <c r="G295" s="106">
        <v>12278</v>
      </c>
      <c r="H295" s="106">
        <v>12278</v>
      </c>
      <c r="I295" s="106">
        <v>12278</v>
      </c>
      <c r="J295" s="106">
        <v>12278</v>
      </c>
      <c r="K295" s="106"/>
      <c r="L295" s="106"/>
      <c r="M295" s="106">
        <v>0</v>
      </c>
      <c r="N295" s="106">
        <v>0</v>
      </c>
      <c r="O295" s="106">
        <v>0</v>
      </c>
      <c r="P295" s="106">
        <v>0</v>
      </c>
      <c r="Q295" s="106">
        <v>4500</v>
      </c>
      <c r="R295" s="106">
        <v>4500</v>
      </c>
      <c r="S295" s="106">
        <v>9532</v>
      </c>
      <c r="T295" s="106">
        <v>9532</v>
      </c>
      <c r="U295" s="106">
        <v>9856.4807280000005</v>
      </c>
      <c r="V295" s="106">
        <v>9856.4807280000005</v>
      </c>
      <c r="W295" s="106">
        <v>0</v>
      </c>
      <c r="X295" s="106">
        <v>0</v>
      </c>
      <c r="Y295" s="106">
        <v>0</v>
      </c>
      <c r="Z295" s="106">
        <v>0</v>
      </c>
      <c r="AA295" s="324" t="s">
        <v>526</v>
      </c>
      <c r="AB295" s="314" t="s">
        <v>593</v>
      </c>
    </row>
    <row r="296" spans="1:28" ht="59.25" customHeight="1">
      <c r="A296" s="336">
        <v>4</v>
      </c>
      <c r="B296" s="330" t="s">
        <v>653</v>
      </c>
      <c r="C296" s="327" t="s">
        <v>407</v>
      </c>
      <c r="D296" s="327" t="s">
        <v>654</v>
      </c>
      <c r="E296" s="327" t="s">
        <v>655</v>
      </c>
      <c r="F296" s="321" t="s">
        <v>659</v>
      </c>
      <c r="G296" s="106">
        <v>24497</v>
      </c>
      <c r="H296" s="106">
        <v>24497</v>
      </c>
      <c r="I296" s="106">
        <f>J296</f>
        <v>24497</v>
      </c>
      <c r="J296" s="106">
        <v>24497</v>
      </c>
      <c r="K296" s="106"/>
      <c r="L296" s="106"/>
      <c r="M296" s="106">
        <f>N296</f>
        <v>24400</v>
      </c>
      <c r="N296" s="106">
        <v>24400</v>
      </c>
      <c r="O296" s="106">
        <f>P296</f>
        <v>19114</v>
      </c>
      <c r="P296" s="106">
        <v>19114</v>
      </c>
      <c r="Q296" s="106">
        <f>R296</f>
        <v>20000</v>
      </c>
      <c r="R296" s="106">
        <v>20000</v>
      </c>
      <c r="S296" s="106">
        <f>T296</f>
        <v>24400</v>
      </c>
      <c r="T296" s="106">
        <v>24400</v>
      </c>
      <c r="U296" s="106">
        <f>V296</f>
        <v>24400</v>
      </c>
      <c r="V296" s="106">
        <f>24400</f>
        <v>24400</v>
      </c>
      <c r="W296" s="106">
        <f>X296</f>
        <v>0</v>
      </c>
      <c r="X296" s="106"/>
      <c r="Y296" s="106"/>
      <c r="Z296" s="106"/>
      <c r="AA296" s="306"/>
      <c r="AB296" s="314" t="s">
        <v>639</v>
      </c>
    </row>
    <row r="297" spans="1:28" ht="59.25" customHeight="1">
      <c r="A297" s="351">
        <v>5</v>
      </c>
      <c r="B297" s="340" t="s">
        <v>726</v>
      </c>
      <c r="C297" s="331" t="s">
        <v>727</v>
      </c>
      <c r="D297" s="341" t="s">
        <v>728</v>
      </c>
      <c r="E297" s="341" t="s">
        <v>230</v>
      </c>
      <c r="F297" s="341" t="s">
        <v>729</v>
      </c>
      <c r="G297" s="403">
        <v>55523</v>
      </c>
      <c r="H297" s="376">
        <f>G297</f>
        <v>55523</v>
      </c>
      <c r="I297" s="376">
        <v>49970</v>
      </c>
      <c r="J297" s="376">
        <v>49970</v>
      </c>
      <c r="K297" s="376"/>
      <c r="L297" s="376"/>
      <c r="M297" s="376">
        <f>N297</f>
        <v>87</v>
      </c>
      <c r="N297" s="376">
        <v>87</v>
      </c>
      <c r="O297" s="376">
        <f>P297</f>
        <v>0</v>
      </c>
      <c r="P297" s="376">
        <v>0</v>
      </c>
      <c r="Q297" s="376">
        <v>87</v>
      </c>
      <c r="R297" s="376">
        <v>87</v>
      </c>
      <c r="S297" s="376">
        <v>87</v>
      </c>
      <c r="T297" s="376">
        <v>87</v>
      </c>
      <c r="U297" s="376">
        <v>47000</v>
      </c>
      <c r="V297" s="376">
        <v>47000</v>
      </c>
      <c r="W297" s="376">
        <v>0</v>
      </c>
      <c r="X297" s="376">
        <v>0</v>
      </c>
      <c r="Y297" s="376"/>
      <c r="Z297" s="376"/>
      <c r="AA297" s="376"/>
      <c r="AB297" s="314" t="s">
        <v>684</v>
      </c>
    </row>
    <row r="298" spans="1:28" ht="59.25" customHeight="1">
      <c r="A298" s="351">
        <v>6</v>
      </c>
      <c r="B298" s="340" t="s">
        <v>810</v>
      </c>
      <c r="C298" s="331" t="s">
        <v>210</v>
      </c>
      <c r="D298" s="341" t="s">
        <v>811</v>
      </c>
      <c r="E298" s="341" t="s">
        <v>230</v>
      </c>
      <c r="F298" s="341" t="s">
        <v>812</v>
      </c>
      <c r="G298" s="403">
        <v>33654</v>
      </c>
      <c r="H298" s="376">
        <v>16429</v>
      </c>
      <c r="I298" s="376">
        <v>16429</v>
      </c>
      <c r="J298" s="376">
        <v>16429</v>
      </c>
      <c r="K298" s="376">
        <v>0</v>
      </c>
      <c r="L298" s="376">
        <v>0</v>
      </c>
      <c r="M298" s="376">
        <v>0</v>
      </c>
      <c r="N298" s="376">
        <v>0</v>
      </c>
      <c r="O298" s="376">
        <v>0</v>
      </c>
      <c r="P298" s="376">
        <v>0</v>
      </c>
      <c r="Q298" s="376">
        <v>0</v>
      </c>
      <c r="R298" s="376">
        <v>0</v>
      </c>
      <c r="S298" s="376">
        <v>0</v>
      </c>
      <c r="T298" s="376">
        <v>0</v>
      </c>
      <c r="U298" s="376">
        <v>14786</v>
      </c>
      <c r="V298" s="376">
        <v>14786</v>
      </c>
      <c r="W298" s="376">
        <v>1643</v>
      </c>
      <c r="X298" s="376">
        <v>1643</v>
      </c>
      <c r="Y298" s="376">
        <v>0</v>
      </c>
      <c r="Z298" s="376">
        <v>0</v>
      </c>
      <c r="AA298" s="376"/>
      <c r="AB298" s="314" t="s">
        <v>761</v>
      </c>
    </row>
    <row r="299" spans="1:28" ht="59.25" customHeight="1">
      <c r="A299" s="351">
        <v>7</v>
      </c>
      <c r="B299" s="340" t="s">
        <v>813</v>
      </c>
      <c r="C299" s="331" t="s">
        <v>814</v>
      </c>
      <c r="D299" s="341" t="s">
        <v>815</v>
      </c>
      <c r="E299" s="341" t="s">
        <v>252</v>
      </c>
      <c r="F299" s="341" t="s">
        <v>816</v>
      </c>
      <c r="G299" s="403">
        <v>37421</v>
      </c>
      <c r="H299" s="376">
        <v>18353</v>
      </c>
      <c r="I299" s="376">
        <v>18353</v>
      </c>
      <c r="J299" s="376">
        <v>18353</v>
      </c>
      <c r="K299" s="376">
        <v>0</v>
      </c>
      <c r="L299" s="376">
        <v>0</v>
      </c>
      <c r="M299" s="376">
        <v>0</v>
      </c>
      <c r="N299" s="376">
        <v>0</v>
      </c>
      <c r="O299" s="376">
        <v>0</v>
      </c>
      <c r="P299" s="376">
        <v>0</v>
      </c>
      <c r="Q299" s="376">
        <v>0</v>
      </c>
      <c r="R299" s="376">
        <v>0</v>
      </c>
      <c r="S299" s="376">
        <v>0</v>
      </c>
      <c r="T299" s="376">
        <v>0</v>
      </c>
      <c r="U299" s="376">
        <v>17985</v>
      </c>
      <c r="V299" s="376">
        <v>17985</v>
      </c>
      <c r="W299" s="376">
        <v>368</v>
      </c>
      <c r="X299" s="376">
        <v>368</v>
      </c>
      <c r="Y299" s="376">
        <v>0</v>
      </c>
      <c r="Z299" s="376">
        <v>0</v>
      </c>
      <c r="AA299" s="376"/>
      <c r="AB299" s="314" t="s">
        <v>761</v>
      </c>
    </row>
    <row r="300" spans="1:28" s="279" customFormat="1" ht="62.25" customHeight="1">
      <c r="A300" s="303" t="s">
        <v>41</v>
      </c>
      <c r="B300" s="304" t="s">
        <v>109</v>
      </c>
      <c r="C300" s="313"/>
      <c r="D300" s="313"/>
      <c r="E300" s="313"/>
      <c r="F300" s="313"/>
      <c r="G300" s="372">
        <f>G301+G305</f>
        <v>1068232</v>
      </c>
      <c r="H300" s="372">
        <f t="shared" ref="H300:Z300" si="112">H301+H305</f>
        <v>620776</v>
      </c>
      <c r="I300" s="372">
        <f t="shared" si="112"/>
        <v>866219</v>
      </c>
      <c r="J300" s="372">
        <f t="shared" si="112"/>
        <v>581272</v>
      </c>
      <c r="K300" s="372">
        <f t="shared" si="112"/>
        <v>0</v>
      </c>
      <c r="L300" s="372">
        <f t="shared" si="112"/>
        <v>0</v>
      </c>
      <c r="M300" s="372">
        <f t="shared" si="112"/>
        <v>99008</v>
      </c>
      <c r="N300" s="372">
        <f t="shared" si="112"/>
        <v>90727</v>
      </c>
      <c r="O300" s="372">
        <f t="shared" si="112"/>
        <v>13909.1</v>
      </c>
      <c r="P300" s="372">
        <f t="shared" si="112"/>
        <v>13445</v>
      </c>
      <c r="Q300" s="372">
        <f t="shared" si="112"/>
        <v>43656.1</v>
      </c>
      <c r="R300" s="372">
        <f t="shared" si="112"/>
        <v>40992</v>
      </c>
      <c r="S300" s="372">
        <f t="shared" si="112"/>
        <v>87200</v>
      </c>
      <c r="T300" s="372">
        <f t="shared" si="112"/>
        <v>78919</v>
      </c>
      <c r="U300" s="372">
        <f t="shared" si="112"/>
        <v>542825</v>
      </c>
      <c r="V300" s="372">
        <f t="shared" si="112"/>
        <v>512576</v>
      </c>
      <c r="W300" s="372">
        <f t="shared" si="112"/>
        <v>80504</v>
      </c>
      <c r="X300" s="372">
        <f t="shared" si="112"/>
        <v>80504</v>
      </c>
      <c r="Y300" s="372">
        <f t="shared" si="112"/>
        <v>0</v>
      </c>
      <c r="Z300" s="372">
        <f t="shared" si="112"/>
        <v>0</v>
      </c>
      <c r="AA300" s="315"/>
      <c r="AB300" s="404"/>
    </row>
    <row r="301" spans="1:28" ht="19.5">
      <c r="A301" s="307" t="s">
        <v>46</v>
      </c>
      <c r="B301" s="308" t="s">
        <v>18</v>
      </c>
      <c r="C301" s="309"/>
      <c r="D301" s="309"/>
      <c r="E301" s="309"/>
      <c r="F301" s="309"/>
      <c r="G301" s="374">
        <f>SUM(G302:G304)</f>
        <v>955647</v>
      </c>
      <c r="H301" s="374">
        <f t="shared" ref="H301:Z301" si="113">SUM(H302:H304)</f>
        <v>577636</v>
      </c>
      <c r="I301" s="374">
        <f t="shared" si="113"/>
        <v>796487</v>
      </c>
      <c r="J301" s="374">
        <f t="shared" si="113"/>
        <v>540166</v>
      </c>
      <c r="K301" s="374">
        <f t="shared" si="113"/>
        <v>0</v>
      </c>
      <c r="L301" s="374">
        <f t="shared" si="113"/>
        <v>0</v>
      </c>
      <c r="M301" s="374">
        <f t="shared" si="113"/>
        <v>70092</v>
      </c>
      <c r="N301" s="374">
        <f t="shared" si="113"/>
        <v>69808</v>
      </c>
      <c r="O301" s="374">
        <f t="shared" si="113"/>
        <v>13445</v>
      </c>
      <c r="P301" s="374">
        <f t="shared" si="113"/>
        <v>13445</v>
      </c>
      <c r="Q301" s="374">
        <f t="shared" si="113"/>
        <v>30000</v>
      </c>
      <c r="R301" s="374">
        <f t="shared" si="113"/>
        <v>30000</v>
      </c>
      <c r="S301" s="374">
        <f t="shared" si="113"/>
        <v>58284</v>
      </c>
      <c r="T301" s="374">
        <f t="shared" si="113"/>
        <v>58000</v>
      </c>
      <c r="U301" s="374">
        <f t="shared" si="113"/>
        <v>490280</v>
      </c>
      <c r="V301" s="374">
        <f t="shared" si="113"/>
        <v>488657</v>
      </c>
      <c r="W301" s="374">
        <f t="shared" si="113"/>
        <v>63317</v>
      </c>
      <c r="X301" s="374">
        <f t="shared" si="113"/>
        <v>63317</v>
      </c>
      <c r="Y301" s="374">
        <f t="shared" si="113"/>
        <v>0</v>
      </c>
      <c r="Z301" s="374">
        <f t="shared" si="113"/>
        <v>0</v>
      </c>
      <c r="AA301" s="310"/>
      <c r="AB301" s="343"/>
    </row>
    <row r="302" spans="1:28" s="278" customFormat="1" ht="56.25">
      <c r="A302" s="311" t="s">
        <v>13</v>
      </c>
      <c r="B302" s="312" t="s">
        <v>232</v>
      </c>
      <c r="C302" s="313" t="s">
        <v>233</v>
      </c>
      <c r="D302" s="313" t="s">
        <v>234</v>
      </c>
      <c r="E302" s="313" t="s">
        <v>235</v>
      </c>
      <c r="F302" s="313" t="s">
        <v>236</v>
      </c>
      <c r="G302" s="122">
        <v>496258</v>
      </c>
      <c r="H302" s="122">
        <v>496258</v>
      </c>
      <c r="I302" s="110">
        <f>J302</f>
        <v>496258</v>
      </c>
      <c r="J302" s="110">
        <v>496258</v>
      </c>
      <c r="K302" s="315"/>
      <c r="L302" s="315"/>
      <c r="M302" s="110">
        <v>43000</v>
      </c>
      <c r="N302" s="110">
        <v>43000</v>
      </c>
      <c r="O302" s="110">
        <v>13445</v>
      </c>
      <c r="P302" s="110">
        <v>13445</v>
      </c>
      <c r="Q302" s="110">
        <v>25000</v>
      </c>
      <c r="R302" s="110">
        <v>25000</v>
      </c>
      <c r="S302" s="110">
        <v>43000</v>
      </c>
      <c r="T302" s="110">
        <v>43000</v>
      </c>
      <c r="U302" s="110">
        <f>V302</f>
        <v>456849</v>
      </c>
      <c r="V302" s="110">
        <v>456849</v>
      </c>
      <c r="W302" s="110">
        <v>39409</v>
      </c>
      <c r="X302" s="110">
        <v>39409</v>
      </c>
      <c r="Y302" s="315"/>
      <c r="Z302" s="315"/>
      <c r="AA302" s="315"/>
      <c r="AB302" s="314" t="s">
        <v>593</v>
      </c>
    </row>
    <row r="303" spans="1:28" s="278" customFormat="1" ht="131.25">
      <c r="A303" s="396" t="s">
        <v>0</v>
      </c>
      <c r="B303" s="322" t="s">
        <v>260</v>
      </c>
      <c r="C303" s="314" t="s">
        <v>250</v>
      </c>
      <c r="D303" s="314" t="s">
        <v>261</v>
      </c>
      <c r="E303" s="314" t="s">
        <v>257</v>
      </c>
      <c r="F303" s="314" t="s">
        <v>262</v>
      </c>
      <c r="G303" s="110">
        <f>H303+303429</f>
        <v>315237</v>
      </c>
      <c r="H303" s="110">
        <v>11808</v>
      </c>
      <c r="I303" s="110">
        <f>J303+256321</f>
        <v>268129</v>
      </c>
      <c r="J303" s="110">
        <v>11808</v>
      </c>
      <c r="K303" s="110">
        <v>0</v>
      </c>
      <c r="L303" s="110">
        <v>0</v>
      </c>
      <c r="M303" s="110">
        <f>N303+284</f>
        <v>12092</v>
      </c>
      <c r="N303" s="110">
        <v>11808</v>
      </c>
      <c r="O303" s="110">
        <f>P303</f>
        <v>0</v>
      </c>
      <c r="P303" s="110">
        <v>0</v>
      </c>
      <c r="Q303" s="110">
        <f>R303</f>
        <v>0</v>
      </c>
      <c r="R303" s="110">
        <v>0</v>
      </c>
      <c r="S303" s="110">
        <f>T303+284</f>
        <v>284</v>
      </c>
      <c r="T303" s="110">
        <v>0</v>
      </c>
      <c r="U303" s="110">
        <f>V303+100+663+576+284</f>
        <v>13431</v>
      </c>
      <c r="V303" s="110">
        <v>11808</v>
      </c>
      <c r="W303" s="110">
        <f>X303</f>
        <v>11808</v>
      </c>
      <c r="X303" s="110">
        <v>11808</v>
      </c>
      <c r="Y303" s="110">
        <v>0</v>
      </c>
      <c r="Z303" s="110">
        <v>0</v>
      </c>
      <c r="AA303" s="324" t="s">
        <v>263</v>
      </c>
      <c r="AB303" s="314" t="s">
        <v>595</v>
      </c>
    </row>
    <row r="304" spans="1:28" s="278" customFormat="1" ht="37.5">
      <c r="A304" s="336">
        <v>3</v>
      </c>
      <c r="B304" s="330" t="s">
        <v>660</v>
      </c>
      <c r="C304" s="327" t="s">
        <v>407</v>
      </c>
      <c r="D304" s="327" t="s">
        <v>661</v>
      </c>
      <c r="E304" s="327" t="s">
        <v>662</v>
      </c>
      <c r="F304" s="321" t="s">
        <v>663</v>
      </c>
      <c r="G304" s="95">
        <v>144152</v>
      </c>
      <c r="H304" s="95">
        <v>69570</v>
      </c>
      <c r="I304" s="94">
        <f t="shared" ref="I304" si="114">J304</f>
        <v>32100</v>
      </c>
      <c r="J304" s="95">
        <v>32100</v>
      </c>
      <c r="K304" s="110"/>
      <c r="L304" s="110"/>
      <c r="M304" s="94">
        <f t="shared" ref="M304" si="115">N304</f>
        <v>15000</v>
      </c>
      <c r="N304" s="95">
        <v>15000</v>
      </c>
      <c r="O304" s="94">
        <f t="shared" ref="O304" si="116">P304</f>
        <v>0</v>
      </c>
      <c r="P304" s="95"/>
      <c r="Q304" s="94">
        <f t="shared" ref="Q304" si="117">R304</f>
        <v>5000</v>
      </c>
      <c r="R304" s="91">
        <v>5000</v>
      </c>
      <c r="S304" s="94">
        <f t="shared" ref="S304" si="118">T304</f>
        <v>15000</v>
      </c>
      <c r="T304" s="94">
        <v>15000</v>
      </c>
      <c r="U304" s="297">
        <f t="shared" ref="U304" si="119">V304</f>
        <v>20000</v>
      </c>
      <c r="V304" s="124">
        <f>5000+15000</f>
        <v>20000</v>
      </c>
      <c r="W304" s="297">
        <f t="shared" ref="W304" si="120">X304</f>
        <v>12100</v>
      </c>
      <c r="X304" s="297">
        <f t="shared" ref="X304" si="121">J304-V304</f>
        <v>12100</v>
      </c>
      <c r="Y304" s="297"/>
      <c r="Z304" s="297"/>
      <c r="AA304" s="297"/>
      <c r="AB304" s="314" t="s">
        <v>639</v>
      </c>
    </row>
    <row r="305" spans="1:28" s="278" customFormat="1" ht="19.5">
      <c r="A305" s="307" t="s">
        <v>19</v>
      </c>
      <c r="B305" s="308" t="s">
        <v>20</v>
      </c>
      <c r="C305" s="314"/>
      <c r="D305" s="314"/>
      <c r="E305" s="314"/>
      <c r="F305" s="314"/>
      <c r="G305" s="109">
        <f>SUM(G306:G307)</f>
        <v>112585</v>
      </c>
      <c r="H305" s="109">
        <f t="shared" ref="H305:Z305" si="122">SUM(H306:H307)</f>
        <v>43140</v>
      </c>
      <c r="I305" s="109">
        <f t="shared" si="122"/>
        <v>69732</v>
      </c>
      <c r="J305" s="109">
        <f t="shared" si="122"/>
        <v>41106</v>
      </c>
      <c r="K305" s="109">
        <f t="shared" si="122"/>
        <v>0</v>
      </c>
      <c r="L305" s="109">
        <f t="shared" si="122"/>
        <v>0</v>
      </c>
      <c r="M305" s="109">
        <f t="shared" si="122"/>
        <v>28916</v>
      </c>
      <c r="N305" s="109">
        <f t="shared" si="122"/>
        <v>20919</v>
      </c>
      <c r="O305" s="109">
        <f t="shared" si="122"/>
        <v>464.1</v>
      </c>
      <c r="P305" s="109">
        <f t="shared" si="122"/>
        <v>0</v>
      </c>
      <c r="Q305" s="109">
        <f t="shared" si="122"/>
        <v>13656.1</v>
      </c>
      <c r="R305" s="109">
        <f t="shared" si="122"/>
        <v>10992</v>
      </c>
      <c r="S305" s="109">
        <f t="shared" si="122"/>
        <v>28916</v>
      </c>
      <c r="T305" s="109">
        <f t="shared" si="122"/>
        <v>20919</v>
      </c>
      <c r="U305" s="109">
        <f t="shared" si="122"/>
        <v>52545</v>
      </c>
      <c r="V305" s="109">
        <f t="shared" si="122"/>
        <v>23919</v>
      </c>
      <c r="W305" s="109">
        <f t="shared" si="122"/>
        <v>17187</v>
      </c>
      <c r="X305" s="109">
        <f t="shared" si="122"/>
        <v>17187</v>
      </c>
      <c r="Y305" s="109">
        <f t="shared" si="122"/>
        <v>0</v>
      </c>
      <c r="Z305" s="109">
        <f t="shared" si="122"/>
        <v>0</v>
      </c>
      <c r="AA305" s="324"/>
      <c r="AB305" s="380"/>
    </row>
    <row r="306" spans="1:28" s="278" customFormat="1" ht="102" customHeight="1">
      <c r="A306" s="311" t="s">
        <v>13</v>
      </c>
      <c r="B306" s="405" t="s">
        <v>367</v>
      </c>
      <c r="C306" s="313" t="s">
        <v>356</v>
      </c>
      <c r="D306" s="406" t="s">
        <v>368</v>
      </c>
      <c r="E306" s="318" t="s">
        <v>312</v>
      </c>
      <c r="F306" s="394" t="s">
        <v>369</v>
      </c>
      <c r="G306" s="97">
        <v>70657</v>
      </c>
      <c r="H306" s="94">
        <v>22801</v>
      </c>
      <c r="I306" s="394">
        <f>22801+28626</f>
        <v>51427</v>
      </c>
      <c r="J306" s="394">
        <v>22801</v>
      </c>
      <c r="K306" s="110"/>
      <c r="L306" s="110"/>
      <c r="M306" s="110">
        <v>17997</v>
      </c>
      <c r="N306" s="110">
        <v>10000</v>
      </c>
      <c r="O306" s="110">
        <v>464.1</v>
      </c>
      <c r="P306" s="110"/>
      <c r="Q306" s="110">
        <v>10156.1</v>
      </c>
      <c r="R306" s="110">
        <v>7492</v>
      </c>
      <c r="S306" s="110">
        <v>17997</v>
      </c>
      <c r="T306" s="110">
        <v>10000</v>
      </c>
      <c r="U306" s="110">
        <v>38626</v>
      </c>
      <c r="V306" s="110">
        <v>10000</v>
      </c>
      <c r="W306" s="110">
        <v>12801</v>
      </c>
      <c r="X306" s="110">
        <v>12801</v>
      </c>
      <c r="Y306" s="110"/>
      <c r="Z306" s="110"/>
      <c r="AA306" s="324"/>
      <c r="AB306" s="314" t="s">
        <v>597</v>
      </c>
    </row>
    <row r="307" spans="1:28" s="278" customFormat="1" ht="102" customHeight="1">
      <c r="A307" s="336">
        <v>2</v>
      </c>
      <c r="B307" s="330" t="s">
        <v>656</v>
      </c>
      <c r="C307" s="327" t="s">
        <v>407</v>
      </c>
      <c r="D307" s="327" t="s">
        <v>657</v>
      </c>
      <c r="E307" s="327" t="s">
        <v>628</v>
      </c>
      <c r="F307" s="321" t="s">
        <v>658</v>
      </c>
      <c r="G307" s="95">
        <v>41928</v>
      </c>
      <c r="H307" s="95">
        <v>20339</v>
      </c>
      <c r="I307" s="297">
        <f>J307</f>
        <v>18305</v>
      </c>
      <c r="J307" s="95">
        <v>18305</v>
      </c>
      <c r="K307" s="110"/>
      <c r="L307" s="110"/>
      <c r="M307" s="297">
        <f>N307</f>
        <v>10919</v>
      </c>
      <c r="N307" s="95">
        <v>10919</v>
      </c>
      <c r="O307" s="94">
        <f>P307</f>
        <v>0</v>
      </c>
      <c r="P307" s="95"/>
      <c r="Q307" s="297">
        <f>R307</f>
        <v>3500</v>
      </c>
      <c r="R307" s="91">
        <v>3500</v>
      </c>
      <c r="S307" s="94">
        <f>T307</f>
        <v>10919</v>
      </c>
      <c r="T307" s="94">
        <v>10919</v>
      </c>
      <c r="U307" s="297">
        <f>V307</f>
        <v>13919</v>
      </c>
      <c r="V307" s="124">
        <f>3000+10919</f>
        <v>13919</v>
      </c>
      <c r="W307" s="297">
        <f>X307</f>
        <v>4386</v>
      </c>
      <c r="X307" s="297">
        <f>J307-V307</f>
        <v>4386</v>
      </c>
      <c r="Y307" s="297"/>
      <c r="Z307" s="297"/>
      <c r="AA307" s="297"/>
      <c r="AB307" s="314" t="s">
        <v>639</v>
      </c>
    </row>
    <row r="308" spans="1:28" s="282" customFormat="1" ht="37.5">
      <c r="A308" s="303" t="s">
        <v>23</v>
      </c>
      <c r="B308" s="304" t="s">
        <v>110</v>
      </c>
      <c r="C308" s="347"/>
      <c r="D308" s="347"/>
      <c r="E308" s="347"/>
      <c r="F308" s="347"/>
      <c r="G308" s="372">
        <f>G309+G311</f>
        <v>13887610</v>
      </c>
      <c r="H308" s="372">
        <f t="shared" ref="H308:Z308" si="123">H309+H311</f>
        <v>1187712</v>
      </c>
      <c r="I308" s="372">
        <f t="shared" si="123"/>
        <v>1110000</v>
      </c>
      <c r="J308" s="372">
        <f t="shared" si="123"/>
        <v>1110000</v>
      </c>
      <c r="K308" s="372">
        <f t="shared" si="123"/>
        <v>0</v>
      </c>
      <c r="L308" s="372">
        <f t="shared" si="123"/>
        <v>0</v>
      </c>
      <c r="M308" s="372">
        <f t="shared" si="123"/>
        <v>3252755</v>
      </c>
      <c r="N308" s="372">
        <f t="shared" si="123"/>
        <v>297755</v>
      </c>
      <c r="O308" s="372">
        <f t="shared" si="123"/>
        <v>1928803</v>
      </c>
      <c r="P308" s="372">
        <f t="shared" si="123"/>
        <v>262444</v>
      </c>
      <c r="Q308" s="372">
        <f t="shared" si="123"/>
        <v>2480309</v>
      </c>
      <c r="R308" s="372">
        <f t="shared" si="123"/>
        <v>30000</v>
      </c>
      <c r="S308" s="372">
        <f t="shared" si="123"/>
        <v>3252755</v>
      </c>
      <c r="T308" s="372">
        <f t="shared" si="123"/>
        <v>297755</v>
      </c>
      <c r="U308" s="372">
        <f t="shared" si="123"/>
        <v>892841</v>
      </c>
      <c r="V308" s="372">
        <f t="shared" si="123"/>
        <v>892841</v>
      </c>
      <c r="W308" s="372">
        <f t="shared" si="123"/>
        <v>2702159</v>
      </c>
      <c r="X308" s="372">
        <f t="shared" si="123"/>
        <v>202159</v>
      </c>
      <c r="Y308" s="372">
        <f t="shared" si="123"/>
        <v>0</v>
      </c>
      <c r="Z308" s="372">
        <f t="shared" si="123"/>
        <v>0</v>
      </c>
      <c r="AA308" s="407"/>
      <c r="AB308" s="408"/>
    </row>
    <row r="309" spans="1:28" s="278" customFormat="1" ht="19.5">
      <c r="A309" s="307" t="s">
        <v>45</v>
      </c>
      <c r="B309" s="308" t="s">
        <v>17</v>
      </c>
      <c r="C309" s="309"/>
      <c r="D309" s="309"/>
      <c r="E309" s="309"/>
      <c r="F309" s="309"/>
      <c r="G309" s="374">
        <f>G310</f>
        <v>13526193</v>
      </c>
      <c r="H309" s="374">
        <f t="shared" ref="H309:Z309" si="124">H310</f>
        <v>1000000</v>
      </c>
      <c r="I309" s="374">
        <f t="shared" si="124"/>
        <v>1000000</v>
      </c>
      <c r="J309" s="374">
        <f t="shared" si="124"/>
        <v>1000000</v>
      </c>
      <c r="K309" s="374">
        <f t="shared" si="124"/>
        <v>0</v>
      </c>
      <c r="L309" s="374">
        <f t="shared" si="124"/>
        <v>0</v>
      </c>
      <c r="M309" s="374">
        <f t="shared" si="124"/>
        <v>3222755</v>
      </c>
      <c r="N309" s="374">
        <f t="shared" si="124"/>
        <v>267755</v>
      </c>
      <c r="O309" s="374">
        <f t="shared" si="124"/>
        <v>1898803</v>
      </c>
      <c r="P309" s="374">
        <f t="shared" si="124"/>
        <v>232444</v>
      </c>
      <c r="Q309" s="374">
        <f t="shared" si="124"/>
        <v>2450309</v>
      </c>
      <c r="R309" s="374">
        <f t="shared" si="124"/>
        <v>0</v>
      </c>
      <c r="S309" s="374">
        <f t="shared" si="124"/>
        <v>3222755</v>
      </c>
      <c r="T309" s="374">
        <f t="shared" si="124"/>
        <v>267755</v>
      </c>
      <c r="U309" s="374">
        <f t="shared" si="124"/>
        <v>852841</v>
      </c>
      <c r="V309" s="374">
        <f t="shared" si="124"/>
        <v>852841</v>
      </c>
      <c r="W309" s="374">
        <f t="shared" si="124"/>
        <v>2647159</v>
      </c>
      <c r="X309" s="374">
        <f t="shared" si="124"/>
        <v>147159</v>
      </c>
      <c r="Y309" s="374">
        <f t="shared" si="124"/>
        <v>0</v>
      </c>
      <c r="Z309" s="374">
        <f t="shared" si="124"/>
        <v>0</v>
      </c>
      <c r="AA309" s="310"/>
      <c r="AB309" s="380"/>
    </row>
    <row r="310" spans="1:28" ht="70.5" customHeight="1">
      <c r="A310" s="311"/>
      <c r="B310" s="312" t="s">
        <v>280</v>
      </c>
      <c r="C310" s="313" t="s">
        <v>237</v>
      </c>
      <c r="D310" s="318" t="s">
        <v>238</v>
      </c>
      <c r="E310" s="313" t="s">
        <v>239</v>
      </c>
      <c r="F310" s="313" t="s">
        <v>240</v>
      </c>
      <c r="G310" s="110">
        <v>13526193</v>
      </c>
      <c r="H310" s="110">
        <v>1000000</v>
      </c>
      <c r="I310" s="110">
        <f>J310</f>
        <v>1000000</v>
      </c>
      <c r="J310" s="110">
        <v>1000000</v>
      </c>
      <c r="K310" s="315"/>
      <c r="L310" s="315"/>
      <c r="M310" s="110">
        <v>3222755</v>
      </c>
      <c r="N310" s="110">
        <f>253063+14692</f>
        <v>267755</v>
      </c>
      <c r="O310" s="110">
        <v>1898803</v>
      </c>
      <c r="P310" s="110">
        <v>232444</v>
      </c>
      <c r="Q310" s="110">
        <v>2450309</v>
      </c>
      <c r="R310" s="128"/>
      <c r="S310" s="110">
        <v>3222755</v>
      </c>
      <c r="T310" s="110">
        <v>267755</v>
      </c>
      <c r="U310" s="110">
        <f>V310</f>
        <v>852841</v>
      </c>
      <c r="V310" s="110">
        <v>852841</v>
      </c>
      <c r="W310" s="110">
        <v>2647159</v>
      </c>
      <c r="X310" s="110">
        <v>147159</v>
      </c>
      <c r="Y310" s="315"/>
      <c r="Z310" s="315"/>
      <c r="AA310" s="315"/>
      <c r="AB310" s="314" t="s">
        <v>594</v>
      </c>
    </row>
    <row r="311" spans="1:28" s="278" customFormat="1" ht="19.5">
      <c r="A311" s="307" t="s">
        <v>46</v>
      </c>
      <c r="B311" s="308" t="s">
        <v>18</v>
      </c>
      <c r="C311" s="309"/>
      <c r="D311" s="409"/>
      <c r="E311" s="309"/>
      <c r="F311" s="309"/>
      <c r="G311" s="109">
        <f>SUM(G312:G313)</f>
        <v>361417</v>
      </c>
      <c r="H311" s="109">
        <f t="shared" ref="H311:Z311" si="125">SUM(H312:H313)</f>
        <v>187712</v>
      </c>
      <c r="I311" s="109">
        <f t="shared" si="125"/>
        <v>110000</v>
      </c>
      <c r="J311" s="109">
        <f t="shared" si="125"/>
        <v>110000</v>
      </c>
      <c r="K311" s="109">
        <f t="shared" si="125"/>
        <v>0</v>
      </c>
      <c r="L311" s="109">
        <f t="shared" si="125"/>
        <v>0</v>
      </c>
      <c r="M311" s="109">
        <f t="shared" si="125"/>
        <v>30000</v>
      </c>
      <c r="N311" s="109">
        <f t="shared" si="125"/>
        <v>30000</v>
      </c>
      <c r="O311" s="109">
        <f t="shared" si="125"/>
        <v>30000</v>
      </c>
      <c r="P311" s="109">
        <f t="shared" si="125"/>
        <v>30000</v>
      </c>
      <c r="Q311" s="109">
        <f t="shared" si="125"/>
        <v>30000</v>
      </c>
      <c r="R311" s="109">
        <f t="shared" si="125"/>
        <v>30000</v>
      </c>
      <c r="S311" s="109">
        <f t="shared" si="125"/>
        <v>30000</v>
      </c>
      <c r="T311" s="109">
        <f t="shared" si="125"/>
        <v>30000</v>
      </c>
      <c r="U311" s="109">
        <f t="shared" si="125"/>
        <v>40000</v>
      </c>
      <c r="V311" s="109">
        <f t="shared" si="125"/>
        <v>40000</v>
      </c>
      <c r="W311" s="109">
        <f t="shared" si="125"/>
        <v>55000</v>
      </c>
      <c r="X311" s="109">
        <f t="shared" si="125"/>
        <v>55000</v>
      </c>
      <c r="Y311" s="109">
        <f t="shared" si="125"/>
        <v>0</v>
      </c>
      <c r="Z311" s="109">
        <f t="shared" si="125"/>
        <v>0</v>
      </c>
      <c r="AA311" s="310"/>
      <c r="AB311" s="378"/>
    </row>
    <row r="312" spans="1:28" ht="70.5" customHeight="1">
      <c r="A312" s="311" t="s">
        <v>13</v>
      </c>
      <c r="B312" s="312" t="s">
        <v>817</v>
      </c>
      <c r="C312" s="313" t="s">
        <v>818</v>
      </c>
      <c r="D312" s="318" t="s">
        <v>819</v>
      </c>
      <c r="E312" s="313" t="s">
        <v>305</v>
      </c>
      <c r="F312" s="313" t="s">
        <v>770</v>
      </c>
      <c r="G312" s="110">
        <v>240919</v>
      </c>
      <c r="H312" s="110">
        <v>117214</v>
      </c>
      <c r="I312" s="110">
        <v>60000</v>
      </c>
      <c r="J312" s="110">
        <v>60000</v>
      </c>
      <c r="K312" s="315">
        <v>0</v>
      </c>
      <c r="L312" s="315">
        <v>0</v>
      </c>
      <c r="M312" s="110">
        <v>30000</v>
      </c>
      <c r="N312" s="110">
        <v>30000</v>
      </c>
      <c r="O312" s="110">
        <v>30000</v>
      </c>
      <c r="P312" s="110">
        <v>30000</v>
      </c>
      <c r="Q312" s="110">
        <v>30000</v>
      </c>
      <c r="R312" s="128">
        <v>30000</v>
      </c>
      <c r="S312" s="110">
        <v>30000</v>
      </c>
      <c r="T312" s="110">
        <v>30000</v>
      </c>
      <c r="U312" s="110">
        <v>40000</v>
      </c>
      <c r="V312" s="110">
        <v>40000</v>
      </c>
      <c r="W312" s="110">
        <v>20000</v>
      </c>
      <c r="X312" s="110">
        <v>20000</v>
      </c>
      <c r="Y312" s="315">
        <v>0</v>
      </c>
      <c r="Z312" s="315">
        <v>0</v>
      </c>
      <c r="AA312" s="315"/>
      <c r="AB312" s="314" t="s">
        <v>761</v>
      </c>
    </row>
    <row r="313" spans="1:28" ht="70.5" customHeight="1">
      <c r="A313" s="311" t="s">
        <v>0</v>
      </c>
      <c r="B313" s="312" t="s">
        <v>1072</v>
      </c>
      <c r="C313" s="313" t="s">
        <v>1073</v>
      </c>
      <c r="D313" s="318" t="s">
        <v>1074</v>
      </c>
      <c r="E313" s="313" t="s">
        <v>289</v>
      </c>
      <c r="F313" s="313"/>
      <c r="G313" s="110">
        <v>120498</v>
      </c>
      <c r="H313" s="110">
        <v>70498</v>
      </c>
      <c r="I313" s="110">
        <v>50000</v>
      </c>
      <c r="J313" s="110">
        <v>50000</v>
      </c>
      <c r="K313" s="315"/>
      <c r="L313" s="315"/>
      <c r="M313" s="110"/>
      <c r="N313" s="110"/>
      <c r="O313" s="110"/>
      <c r="P313" s="110"/>
      <c r="Q313" s="110"/>
      <c r="R313" s="128"/>
      <c r="S313" s="110"/>
      <c r="T313" s="110"/>
      <c r="U313" s="110"/>
      <c r="V313" s="110"/>
      <c r="W313" s="110">
        <v>35000</v>
      </c>
      <c r="X313" s="110">
        <v>35000</v>
      </c>
      <c r="Y313" s="315"/>
      <c r="Z313" s="315"/>
      <c r="AA313" s="315"/>
      <c r="AB313" s="314" t="s">
        <v>1002</v>
      </c>
    </row>
    <row r="314" spans="1:28" ht="37.5">
      <c r="A314" s="303" t="s">
        <v>24</v>
      </c>
      <c r="B314" s="304" t="s">
        <v>115</v>
      </c>
      <c r="C314" s="313"/>
      <c r="D314" s="318"/>
      <c r="E314" s="313"/>
      <c r="F314" s="313"/>
      <c r="G314" s="108">
        <f>G315</f>
        <v>178957</v>
      </c>
      <c r="H314" s="108">
        <f t="shared" ref="H314:Z314" si="126">H315</f>
        <v>114800</v>
      </c>
      <c r="I314" s="108">
        <f t="shared" si="126"/>
        <v>0</v>
      </c>
      <c r="J314" s="108">
        <f t="shared" si="126"/>
        <v>0</v>
      </c>
      <c r="K314" s="108">
        <f t="shared" si="126"/>
        <v>0</v>
      </c>
      <c r="L314" s="108">
        <f t="shared" si="126"/>
        <v>0</v>
      </c>
      <c r="M314" s="108">
        <f t="shared" si="126"/>
        <v>0</v>
      </c>
      <c r="N314" s="108">
        <f t="shared" si="126"/>
        <v>0</v>
      </c>
      <c r="O314" s="108">
        <f t="shared" si="126"/>
        <v>0</v>
      </c>
      <c r="P314" s="108">
        <f t="shared" si="126"/>
        <v>0</v>
      </c>
      <c r="Q314" s="108">
        <f t="shared" si="126"/>
        <v>0</v>
      </c>
      <c r="R314" s="108">
        <f t="shared" si="126"/>
        <v>0</v>
      </c>
      <c r="S314" s="108">
        <f t="shared" si="126"/>
        <v>0</v>
      </c>
      <c r="T314" s="108">
        <f t="shared" si="126"/>
        <v>0</v>
      </c>
      <c r="U314" s="108">
        <f t="shared" si="126"/>
        <v>0</v>
      </c>
      <c r="V314" s="108">
        <f t="shared" si="126"/>
        <v>0</v>
      </c>
      <c r="W314" s="108">
        <f t="shared" si="126"/>
        <v>60000</v>
      </c>
      <c r="X314" s="108">
        <f t="shared" si="126"/>
        <v>60000</v>
      </c>
      <c r="Y314" s="108">
        <f t="shared" si="126"/>
        <v>0</v>
      </c>
      <c r="Z314" s="108">
        <f t="shared" si="126"/>
        <v>0</v>
      </c>
      <c r="AA314" s="315"/>
      <c r="AB314" s="343"/>
    </row>
    <row r="315" spans="1:28" ht="19.5">
      <c r="A315" s="307" t="s">
        <v>19</v>
      </c>
      <c r="B315" s="308" t="s">
        <v>20</v>
      </c>
      <c r="C315" s="313"/>
      <c r="D315" s="318"/>
      <c r="E315" s="313"/>
      <c r="F315" s="313"/>
      <c r="G315" s="109">
        <f>SUM(G316:G319)</f>
        <v>178957</v>
      </c>
      <c r="H315" s="109">
        <f t="shared" ref="H315:Z315" si="127">SUM(H316:H319)</f>
        <v>114800</v>
      </c>
      <c r="I315" s="109">
        <f t="shared" si="127"/>
        <v>0</v>
      </c>
      <c r="J315" s="109">
        <f t="shared" si="127"/>
        <v>0</v>
      </c>
      <c r="K315" s="109">
        <f t="shared" si="127"/>
        <v>0</v>
      </c>
      <c r="L315" s="109">
        <f t="shared" si="127"/>
        <v>0</v>
      </c>
      <c r="M315" s="109">
        <f t="shared" si="127"/>
        <v>0</v>
      </c>
      <c r="N315" s="109">
        <f t="shared" si="127"/>
        <v>0</v>
      </c>
      <c r="O315" s="109">
        <f t="shared" si="127"/>
        <v>0</v>
      </c>
      <c r="P315" s="109">
        <f t="shared" si="127"/>
        <v>0</v>
      </c>
      <c r="Q315" s="109">
        <f t="shared" si="127"/>
        <v>0</v>
      </c>
      <c r="R315" s="109">
        <f t="shared" si="127"/>
        <v>0</v>
      </c>
      <c r="S315" s="109">
        <f t="shared" si="127"/>
        <v>0</v>
      </c>
      <c r="T315" s="109">
        <f t="shared" si="127"/>
        <v>0</v>
      </c>
      <c r="U315" s="109">
        <f t="shared" si="127"/>
        <v>0</v>
      </c>
      <c r="V315" s="109">
        <f t="shared" si="127"/>
        <v>0</v>
      </c>
      <c r="W315" s="109">
        <f t="shared" si="127"/>
        <v>60000</v>
      </c>
      <c r="X315" s="109">
        <f t="shared" si="127"/>
        <v>60000</v>
      </c>
      <c r="Y315" s="109">
        <f t="shared" si="127"/>
        <v>0</v>
      </c>
      <c r="Z315" s="109">
        <f t="shared" si="127"/>
        <v>0</v>
      </c>
      <c r="AA315" s="315"/>
      <c r="AB315" s="343"/>
    </row>
    <row r="316" spans="1:28" ht="114" customHeight="1">
      <c r="A316" s="396" t="s">
        <v>13</v>
      </c>
      <c r="B316" s="397" t="s">
        <v>264</v>
      </c>
      <c r="C316" s="313" t="s">
        <v>265</v>
      </c>
      <c r="D316" s="313" t="s">
        <v>266</v>
      </c>
      <c r="E316" s="313" t="s">
        <v>267</v>
      </c>
      <c r="F316" s="313"/>
      <c r="G316" s="110">
        <v>35497</v>
      </c>
      <c r="H316" s="110">
        <v>10163</v>
      </c>
      <c r="I316" s="110">
        <f>J316</f>
        <v>0</v>
      </c>
      <c r="J316" s="110">
        <f>SUM(K316:L316)</f>
        <v>0</v>
      </c>
      <c r="K316" s="110">
        <v>0</v>
      </c>
      <c r="L316" s="110">
        <v>0</v>
      </c>
      <c r="M316" s="110">
        <f>N316</f>
        <v>0</v>
      </c>
      <c r="N316" s="110">
        <v>0</v>
      </c>
      <c r="O316" s="110">
        <f>P316</f>
        <v>0</v>
      </c>
      <c r="P316" s="110">
        <v>0</v>
      </c>
      <c r="Q316" s="110">
        <f>R316</f>
        <v>0</v>
      </c>
      <c r="R316" s="110">
        <v>0</v>
      </c>
      <c r="S316" s="110">
        <f>T316</f>
        <v>0</v>
      </c>
      <c r="T316" s="110">
        <v>0</v>
      </c>
      <c r="U316" s="110">
        <f>V316</f>
        <v>0</v>
      </c>
      <c r="V316" s="110">
        <v>0</v>
      </c>
      <c r="W316" s="110">
        <f>X316</f>
        <v>5000</v>
      </c>
      <c r="X316" s="110">
        <v>5000</v>
      </c>
      <c r="Y316" s="110">
        <v>0</v>
      </c>
      <c r="Z316" s="110">
        <v>0</v>
      </c>
      <c r="AA316" s="313" t="s">
        <v>268</v>
      </c>
      <c r="AB316" s="314" t="s">
        <v>595</v>
      </c>
    </row>
    <row r="317" spans="1:28" ht="114" customHeight="1">
      <c r="A317" s="396" t="s">
        <v>0</v>
      </c>
      <c r="B317" s="397" t="s">
        <v>269</v>
      </c>
      <c r="C317" s="313" t="s">
        <v>270</v>
      </c>
      <c r="D317" s="313" t="s">
        <v>271</v>
      </c>
      <c r="E317" s="313" t="s">
        <v>272</v>
      </c>
      <c r="F317" s="313"/>
      <c r="G317" s="110">
        <v>35096</v>
      </c>
      <c r="H317" s="110">
        <v>19800</v>
      </c>
      <c r="I317" s="110">
        <f>J317</f>
        <v>0</v>
      </c>
      <c r="J317" s="110">
        <f>SUM(K317:L317)</f>
        <v>0</v>
      </c>
      <c r="K317" s="110">
        <v>0</v>
      </c>
      <c r="L317" s="110">
        <v>0</v>
      </c>
      <c r="M317" s="110">
        <f>N317</f>
        <v>0</v>
      </c>
      <c r="N317" s="110">
        <v>0</v>
      </c>
      <c r="O317" s="110">
        <f>P317</f>
        <v>0</v>
      </c>
      <c r="P317" s="110">
        <v>0</v>
      </c>
      <c r="Q317" s="110">
        <f>R317</f>
        <v>0</v>
      </c>
      <c r="R317" s="110">
        <v>0</v>
      </c>
      <c r="S317" s="110">
        <f>T317</f>
        <v>0</v>
      </c>
      <c r="T317" s="110">
        <v>0</v>
      </c>
      <c r="U317" s="110">
        <f>V317</f>
        <v>0</v>
      </c>
      <c r="V317" s="110">
        <v>0</v>
      </c>
      <c r="W317" s="110">
        <f>X317</f>
        <v>10000</v>
      </c>
      <c r="X317" s="110">
        <v>10000</v>
      </c>
      <c r="Y317" s="110">
        <v>0</v>
      </c>
      <c r="Z317" s="110">
        <v>0</v>
      </c>
      <c r="AA317" s="313" t="s">
        <v>268</v>
      </c>
      <c r="AB317" s="314" t="s">
        <v>595</v>
      </c>
    </row>
    <row r="318" spans="1:28" ht="93" customHeight="1">
      <c r="A318" s="396" t="s">
        <v>5</v>
      </c>
      <c r="B318" s="397" t="s">
        <v>273</v>
      </c>
      <c r="C318" s="313" t="s">
        <v>270</v>
      </c>
      <c r="D318" s="313" t="s">
        <v>274</v>
      </c>
      <c r="E318" s="313" t="s">
        <v>272</v>
      </c>
      <c r="F318" s="313"/>
      <c r="G318" s="110">
        <v>34592</v>
      </c>
      <c r="H318" s="110">
        <v>11065</v>
      </c>
      <c r="I318" s="110">
        <f>J318</f>
        <v>0</v>
      </c>
      <c r="J318" s="110">
        <f>SUM(K318:L318)</f>
        <v>0</v>
      </c>
      <c r="K318" s="110">
        <v>0</v>
      </c>
      <c r="L318" s="110">
        <v>0</v>
      </c>
      <c r="M318" s="110">
        <f>N318</f>
        <v>0</v>
      </c>
      <c r="N318" s="110">
        <v>0</v>
      </c>
      <c r="O318" s="110">
        <f>P318</f>
        <v>0</v>
      </c>
      <c r="P318" s="110">
        <v>0</v>
      </c>
      <c r="Q318" s="110">
        <f>R318</f>
        <v>0</v>
      </c>
      <c r="R318" s="110">
        <v>0</v>
      </c>
      <c r="S318" s="110">
        <f>T318</f>
        <v>0</v>
      </c>
      <c r="T318" s="110">
        <v>0</v>
      </c>
      <c r="U318" s="110">
        <f>V318</f>
        <v>0</v>
      </c>
      <c r="V318" s="110">
        <v>0</v>
      </c>
      <c r="W318" s="110">
        <f>X318</f>
        <v>5000</v>
      </c>
      <c r="X318" s="110">
        <v>5000</v>
      </c>
      <c r="Y318" s="110">
        <v>0</v>
      </c>
      <c r="Z318" s="110">
        <v>0</v>
      </c>
      <c r="AA318" s="313" t="s">
        <v>275</v>
      </c>
      <c r="AB318" s="314" t="s">
        <v>595</v>
      </c>
    </row>
    <row r="319" spans="1:28" ht="86.25" customHeight="1">
      <c r="A319" s="396" t="s">
        <v>6</v>
      </c>
      <c r="B319" s="397" t="s">
        <v>276</v>
      </c>
      <c r="C319" s="313" t="s">
        <v>255</v>
      </c>
      <c r="D319" s="313" t="s">
        <v>277</v>
      </c>
      <c r="E319" s="313" t="s">
        <v>278</v>
      </c>
      <c r="F319" s="313"/>
      <c r="G319" s="110">
        <f>H319</f>
        <v>73772</v>
      </c>
      <c r="H319" s="110">
        <v>73772</v>
      </c>
      <c r="I319" s="110">
        <f>J319</f>
        <v>0</v>
      </c>
      <c r="J319" s="110">
        <f>SUM(K319:L319)</f>
        <v>0</v>
      </c>
      <c r="K319" s="110">
        <v>0</v>
      </c>
      <c r="L319" s="110">
        <v>0</v>
      </c>
      <c r="M319" s="110">
        <f>N319</f>
        <v>0</v>
      </c>
      <c r="N319" s="110">
        <v>0</v>
      </c>
      <c r="O319" s="110">
        <f>P319</f>
        <v>0</v>
      </c>
      <c r="P319" s="110">
        <v>0</v>
      </c>
      <c r="Q319" s="110">
        <f>R319</f>
        <v>0</v>
      </c>
      <c r="R319" s="110">
        <v>0</v>
      </c>
      <c r="S319" s="110">
        <f>T319</f>
        <v>0</v>
      </c>
      <c r="T319" s="110">
        <v>0</v>
      </c>
      <c r="U319" s="110">
        <f>V319</f>
        <v>0</v>
      </c>
      <c r="V319" s="110">
        <v>0</v>
      </c>
      <c r="W319" s="110">
        <f>X319</f>
        <v>40000</v>
      </c>
      <c r="X319" s="110">
        <v>40000</v>
      </c>
      <c r="Y319" s="110">
        <v>0</v>
      </c>
      <c r="Z319" s="110">
        <v>0</v>
      </c>
      <c r="AA319" s="313" t="s">
        <v>279</v>
      </c>
      <c r="AB319" s="314" t="s">
        <v>595</v>
      </c>
    </row>
    <row r="320" spans="1:28" ht="37.5">
      <c r="A320" s="391" t="s">
        <v>603</v>
      </c>
      <c r="B320" s="301" t="s">
        <v>605</v>
      </c>
      <c r="C320" s="297"/>
      <c r="D320" s="297"/>
      <c r="E320" s="297"/>
      <c r="F320" s="297"/>
      <c r="G320" s="298">
        <f>G321+G323</f>
        <v>745598</v>
      </c>
      <c r="H320" s="298">
        <f t="shared" ref="H320:Z320" si="128">H321+H323</f>
        <v>403693</v>
      </c>
      <c r="I320" s="298">
        <f t="shared" si="128"/>
        <v>494877</v>
      </c>
      <c r="J320" s="298">
        <f t="shared" si="128"/>
        <v>286618</v>
      </c>
      <c r="K320" s="298">
        <f t="shared" si="128"/>
        <v>0</v>
      </c>
      <c r="L320" s="298">
        <f t="shared" si="128"/>
        <v>0</v>
      </c>
      <c r="M320" s="298">
        <f t="shared" si="128"/>
        <v>89505</v>
      </c>
      <c r="N320" s="298">
        <f t="shared" si="128"/>
        <v>38217</v>
      </c>
      <c r="O320" s="298">
        <f t="shared" si="128"/>
        <v>4962</v>
      </c>
      <c r="P320" s="298">
        <f t="shared" si="128"/>
        <v>2638</v>
      </c>
      <c r="Q320" s="298">
        <f t="shared" si="128"/>
        <v>13238</v>
      </c>
      <c r="R320" s="298">
        <f t="shared" si="128"/>
        <v>2638</v>
      </c>
      <c r="S320" s="298">
        <f t="shared" si="128"/>
        <v>23926</v>
      </c>
      <c r="T320" s="298">
        <f t="shared" si="128"/>
        <v>2638</v>
      </c>
      <c r="U320" s="298">
        <f t="shared" si="128"/>
        <v>399440</v>
      </c>
      <c r="V320" s="298">
        <f t="shared" si="128"/>
        <v>230496</v>
      </c>
      <c r="W320" s="298">
        <f t="shared" si="128"/>
        <v>94445</v>
      </c>
      <c r="X320" s="298">
        <f t="shared" si="128"/>
        <v>57530</v>
      </c>
      <c r="Y320" s="298">
        <f t="shared" si="128"/>
        <v>0</v>
      </c>
      <c r="Z320" s="298">
        <f t="shared" si="128"/>
        <v>0</v>
      </c>
      <c r="AA320" s="297"/>
      <c r="AB320" s="299"/>
    </row>
    <row r="321" spans="1:28">
      <c r="A321" s="302" t="s">
        <v>38</v>
      </c>
      <c r="B321" s="301" t="s">
        <v>83</v>
      </c>
      <c r="C321" s="297"/>
      <c r="D321" s="297"/>
      <c r="E321" s="297"/>
      <c r="F321" s="297"/>
      <c r="G321" s="392">
        <f>G322</f>
        <v>0</v>
      </c>
      <c r="H321" s="392">
        <f t="shared" ref="H321:Z321" si="129">H322</f>
        <v>0</v>
      </c>
      <c r="I321" s="392">
        <f t="shared" si="129"/>
        <v>0</v>
      </c>
      <c r="J321" s="392">
        <f t="shared" si="129"/>
        <v>0</v>
      </c>
      <c r="K321" s="392">
        <f t="shared" si="129"/>
        <v>0</v>
      </c>
      <c r="L321" s="392">
        <f t="shared" si="129"/>
        <v>0</v>
      </c>
      <c r="M321" s="392">
        <f t="shared" si="129"/>
        <v>0</v>
      </c>
      <c r="N321" s="392">
        <f t="shared" si="129"/>
        <v>0</v>
      </c>
      <c r="O321" s="392">
        <f t="shared" si="129"/>
        <v>0</v>
      </c>
      <c r="P321" s="392">
        <f t="shared" si="129"/>
        <v>0</v>
      </c>
      <c r="Q321" s="392">
        <f t="shared" si="129"/>
        <v>0</v>
      </c>
      <c r="R321" s="392">
        <f t="shared" si="129"/>
        <v>0</v>
      </c>
      <c r="S321" s="392">
        <f t="shared" si="129"/>
        <v>0</v>
      </c>
      <c r="T321" s="392">
        <f t="shared" si="129"/>
        <v>0</v>
      </c>
      <c r="U321" s="392">
        <f t="shared" si="129"/>
        <v>0</v>
      </c>
      <c r="V321" s="392">
        <f t="shared" si="129"/>
        <v>0</v>
      </c>
      <c r="W321" s="392">
        <f t="shared" si="129"/>
        <v>2000</v>
      </c>
      <c r="X321" s="392">
        <f t="shared" si="129"/>
        <v>2000</v>
      </c>
      <c r="Y321" s="392">
        <f t="shared" si="129"/>
        <v>0</v>
      </c>
      <c r="Z321" s="392">
        <f t="shared" si="129"/>
        <v>0</v>
      </c>
      <c r="AA321" s="297"/>
      <c r="AB321" s="314"/>
    </row>
    <row r="322" spans="1:28" ht="37.5">
      <c r="A322" s="317"/>
      <c r="B322" s="312" t="s">
        <v>606</v>
      </c>
      <c r="C322" s="297" t="s">
        <v>465</v>
      </c>
      <c r="D322" s="297" t="s">
        <v>607</v>
      </c>
      <c r="E322" s="297" t="s">
        <v>409</v>
      </c>
      <c r="F322" s="297"/>
      <c r="G322" s="297"/>
      <c r="H322" s="297"/>
      <c r="I322" s="297"/>
      <c r="J322" s="297"/>
      <c r="K322" s="297"/>
      <c r="L322" s="297"/>
      <c r="M322" s="297"/>
      <c r="N322" s="297"/>
      <c r="O322" s="297"/>
      <c r="P322" s="297"/>
      <c r="Q322" s="297"/>
      <c r="R322" s="297"/>
      <c r="S322" s="297"/>
      <c r="T322" s="297"/>
      <c r="U322" s="297"/>
      <c r="V322" s="297"/>
      <c r="W322" s="297">
        <v>2000</v>
      </c>
      <c r="X322" s="297">
        <v>2000</v>
      </c>
      <c r="Y322" s="297"/>
      <c r="Z322" s="297"/>
      <c r="AA322" s="297" t="s">
        <v>608</v>
      </c>
      <c r="AB322" s="314" t="s">
        <v>620</v>
      </c>
    </row>
    <row r="323" spans="1:28">
      <c r="A323" s="302" t="s">
        <v>43</v>
      </c>
      <c r="B323" s="301" t="s">
        <v>58</v>
      </c>
      <c r="C323" s="297"/>
      <c r="D323" s="297"/>
      <c r="E323" s="297"/>
      <c r="F323" s="297"/>
      <c r="G323" s="298">
        <f>G324+G330</f>
        <v>745598</v>
      </c>
      <c r="H323" s="298">
        <f t="shared" ref="H323:Z323" si="130">H324+H330</f>
        <v>403693</v>
      </c>
      <c r="I323" s="298">
        <f t="shared" si="130"/>
        <v>494877</v>
      </c>
      <c r="J323" s="298">
        <f t="shared" si="130"/>
        <v>286618</v>
      </c>
      <c r="K323" s="298">
        <f t="shared" si="130"/>
        <v>0</v>
      </c>
      <c r="L323" s="298">
        <f t="shared" si="130"/>
        <v>0</v>
      </c>
      <c r="M323" s="298">
        <f t="shared" si="130"/>
        <v>89505</v>
      </c>
      <c r="N323" s="298">
        <f t="shared" si="130"/>
        <v>38217</v>
      </c>
      <c r="O323" s="298">
        <f t="shared" si="130"/>
        <v>4962</v>
      </c>
      <c r="P323" s="298">
        <f t="shared" si="130"/>
        <v>2638</v>
      </c>
      <c r="Q323" s="298">
        <f t="shared" si="130"/>
        <v>13238</v>
      </c>
      <c r="R323" s="298">
        <f t="shared" si="130"/>
        <v>2638</v>
      </c>
      <c r="S323" s="298">
        <f t="shared" si="130"/>
        <v>23926</v>
      </c>
      <c r="T323" s="298">
        <f t="shared" si="130"/>
        <v>2638</v>
      </c>
      <c r="U323" s="298">
        <f t="shared" si="130"/>
        <v>399440</v>
      </c>
      <c r="V323" s="298">
        <f t="shared" si="130"/>
        <v>230496</v>
      </c>
      <c r="W323" s="298">
        <f t="shared" si="130"/>
        <v>92445</v>
      </c>
      <c r="X323" s="298">
        <f t="shared" si="130"/>
        <v>55530</v>
      </c>
      <c r="Y323" s="298">
        <f t="shared" si="130"/>
        <v>0</v>
      </c>
      <c r="Z323" s="298">
        <f t="shared" si="130"/>
        <v>0</v>
      </c>
      <c r="AA323" s="297"/>
      <c r="AB323" s="314"/>
    </row>
    <row r="324" spans="1:28" ht="56.25">
      <c r="A324" s="303" t="s">
        <v>39</v>
      </c>
      <c r="B324" s="304" t="s">
        <v>108</v>
      </c>
      <c r="C324" s="305"/>
      <c r="D324" s="305"/>
      <c r="E324" s="305"/>
      <c r="F324" s="305"/>
      <c r="G324" s="372">
        <f>G325</f>
        <v>429561</v>
      </c>
      <c r="H324" s="372">
        <f t="shared" ref="H324:Z324" si="131">H325</f>
        <v>189180</v>
      </c>
      <c r="I324" s="372">
        <f t="shared" si="131"/>
        <v>247073</v>
      </c>
      <c r="J324" s="372">
        <f t="shared" si="131"/>
        <v>155094</v>
      </c>
      <c r="K324" s="372">
        <f t="shared" si="131"/>
        <v>0</v>
      </c>
      <c r="L324" s="372">
        <f t="shared" si="131"/>
        <v>0</v>
      </c>
      <c r="M324" s="372">
        <f t="shared" si="131"/>
        <v>8296</v>
      </c>
      <c r="N324" s="372">
        <f t="shared" si="131"/>
        <v>7008</v>
      </c>
      <c r="O324" s="372">
        <f t="shared" si="131"/>
        <v>525</v>
      </c>
      <c r="P324" s="372">
        <f t="shared" si="131"/>
        <v>525</v>
      </c>
      <c r="Q324" s="372">
        <f t="shared" si="131"/>
        <v>1125</v>
      </c>
      <c r="R324" s="372">
        <f t="shared" si="131"/>
        <v>525</v>
      </c>
      <c r="S324" s="372">
        <f t="shared" si="131"/>
        <v>1813</v>
      </c>
      <c r="T324" s="372">
        <f t="shared" si="131"/>
        <v>525</v>
      </c>
      <c r="U324" s="372">
        <f t="shared" si="131"/>
        <v>228474</v>
      </c>
      <c r="V324" s="372">
        <f t="shared" si="131"/>
        <v>136495</v>
      </c>
      <c r="W324" s="372">
        <f t="shared" si="131"/>
        <v>0</v>
      </c>
      <c r="X324" s="372">
        <f t="shared" si="131"/>
        <v>0</v>
      </c>
      <c r="Y324" s="372">
        <f t="shared" si="131"/>
        <v>0</v>
      </c>
      <c r="Z324" s="372">
        <f t="shared" si="131"/>
        <v>0</v>
      </c>
      <c r="AA324" s="306"/>
      <c r="AB324" s="314"/>
    </row>
    <row r="325" spans="1:28" ht="19.5">
      <c r="A325" s="307" t="s">
        <v>19</v>
      </c>
      <c r="B325" s="308" t="s">
        <v>20</v>
      </c>
      <c r="C325" s="309"/>
      <c r="D325" s="309"/>
      <c r="E325" s="309"/>
      <c r="F325" s="309"/>
      <c r="G325" s="374">
        <f>SUM(G326:G329)</f>
        <v>429561</v>
      </c>
      <c r="H325" s="374">
        <f t="shared" ref="H325:Z325" si="132">SUM(H326:H329)</f>
        <v>189180</v>
      </c>
      <c r="I325" s="374">
        <f t="shared" si="132"/>
        <v>247073</v>
      </c>
      <c r="J325" s="374">
        <f t="shared" si="132"/>
        <v>155094</v>
      </c>
      <c r="K325" s="374">
        <f t="shared" si="132"/>
        <v>0</v>
      </c>
      <c r="L325" s="374">
        <f t="shared" si="132"/>
        <v>0</v>
      </c>
      <c r="M325" s="374">
        <f t="shared" si="132"/>
        <v>8296</v>
      </c>
      <c r="N325" s="374">
        <f t="shared" si="132"/>
        <v>7008</v>
      </c>
      <c r="O325" s="374">
        <f t="shared" si="132"/>
        <v>525</v>
      </c>
      <c r="P325" s="374">
        <f t="shared" si="132"/>
        <v>525</v>
      </c>
      <c r="Q325" s="374">
        <f t="shared" si="132"/>
        <v>1125</v>
      </c>
      <c r="R325" s="374">
        <f t="shared" si="132"/>
        <v>525</v>
      </c>
      <c r="S325" s="374">
        <f t="shared" si="132"/>
        <v>1813</v>
      </c>
      <c r="T325" s="374">
        <f t="shared" si="132"/>
        <v>525</v>
      </c>
      <c r="U325" s="374">
        <f t="shared" si="132"/>
        <v>228474</v>
      </c>
      <c r="V325" s="374">
        <f t="shared" si="132"/>
        <v>136495</v>
      </c>
      <c r="W325" s="374">
        <f t="shared" si="132"/>
        <v>0</v>
      </c>
      <c r="X325" s="374">
        <f t="shared" si="132"/>
        <v>0</v>
      </c>
      <c r="Y325" s="374">
        <f t="shared" si="132"/>
        <v>0</v>
      </c>
      <c r="Z325" s="374">
        <f t="shared" si="132"/>
        <v>0</v>
      </c>
      <c r="AA325" s="310"/>
      <c r="AB325" s="314"/>
    </row>
    <row r="326" spans="1:28" ht="75">
      <c r="A326" s="311" t="s">
        <v>13</v>
      </c>
      <c r="B326" s="312" t="s">
        <v>609</v>
      </c>
      <c r="C326" s="313" t="s">
        <v>407</v>
      </c>
      <c r="D326" s="313" t="s">
        <v>621</v>
      </c>
      <c r="E326" s="313" t="s">
        <v>316</v>
      </c>
      <c r="F326" s="313" t="s">
        <v>610</v>
      </c>
      <c r="G326" s="85">
        <v>30970</v>
      </c>
      <c r="H326" s="85"/>
      <c r="I326" s="85">
        <v>23750</v>
      </c>
      <c r="J326" s="85"/>
      <c r="K326" s="85"/>
      <c r="L326" s="85"/>
      <c r="M326" s="85">
        <v>688</v>
      </c>
      <c r="N326" s="85"/>
      <c r="O326" s="85"/>
      <c r="P326" s="85"/>
      <c r="Q326" s="85">
        <v>300</v>
      </c>
      <c r="R326" s="85"/>
      <c r="S326" s="85">
        <v>688</v>
      </c>
      <c r="T326" s="85"/>
      <c r="U326" s="85">
        <v>23750</v>
      </c>
      <c r="V326" s="85"/>
      <c r="W326" s="85"/>
      <c r="X326" s="85"/>
      <c r="Y326" s="85"/>
      <c r="Z326" s="85"/>
      <c r="AA326" s="315"/>
      <c r="AB326" s="314" t="s">
        <v>620</v>
      </c>
    </row>
    <row r="327" spans="1:28" ht="225">
      <c r="A327" s="311" t="s">
        <v>0</v>
      </c>
      <c r="B327" s="325" t="s">
        <v>611</v>
      </c>
      <c r="C327" s="313" t="s">
        <v>396</v>
      </c>
      <c r="D327" s="313" t="s">
        <v>612</v>
      </c>
      <c r="E327" s="313" t="s">
        <v>613</v>
      </c>
      <c r="F327" s="313" t="s">
        <v>614</v>
      </c>
      <c r="G327" s="85">
        <v>86412</v>
      </c>
      <c r="H327" s="85"/>
      <c r="I327" s="85">
        <v>68229</v>
      </c>
      <c r="J327" s="85"/>
      <c r="K327" s="85"/>
      <c r="L327" s="85"/>
      <c r="M327" s="85">
        <v>600</v>
      </c>
      <c r="N327" s="85"/>
      <c r="O327" s="85"/>
      <c r="P327" s="85"/>
      <c r="Q327" s="85">
        <v>300</v>
      </c>
      <c r="R327" s="85"/>
      <c r="S327" s="85">
        <v>600</v>
      </c>
      <c r="T327" s="85"/>
      <c r="U327" s="85">
        <v>68229</v>
      </c>
      <c r="V327" s="85"/>
      <c r="W327" s="85"/>
      <c r="X327" s="85"/>
      <c r="Y327" s="85"/>
      <c r="Z327" s="85"/>
      <c r="AA327" s="315"/>
      <c r="AB327" s="314" t="s">
        <v>620</v>
      </c>
    </row>
    <row r="328" spans="1:28" ht="112.5">
      <c r="A328" s="339">
        <v>3</v>
      </c>
      <c r="B328" s="375" t="s">
        <v>721</v>
      </c>
      <c r="C328" s="331" t="s">
        <v>722</v>
      </c>
      <c r="D328" s="375" t="s">
        <v>723</v>
      </c>
      <c r="E328" s="341" t="s">
        <v>724</v>
      </c>
      <c r="F328" s="321" t="s">
        <v>725</v>
      </c>
      <c r="G328" s="410">
        <f>H328</f>
        <v>59180</v>
      </c>
      <c r="H328" s="410">
        <v>59180</v>
      </c>
      <c r="I328" s="403">
        <v>58180</v>
      </c>
      <c r="J328" s="376">
        <f>I328</f>
        <v>58180</v>
      </c>
      <c r="K328" s="376"/>
      <c r="L328" s="376"/>
      <c r="M328" s="376">
        <v>5567</v>
      </c>
      <c r="N328" s="376">
        <v>5567</v>
      </c>
      <c r="O328" s="376">
        <v>525</v>
      </c>
      <c r="P328" s="376">
        <v>525</v>
      </c>
      <c r="Q328" s="376">
        <v>525</v>
      </c>
      <c r="R328" s="376">
        <v>525</v>
      </c>
      <c r="S328" s="376">
        <v>525</v>
      </c>
      <c r="T328" s="376">
        <v>525</v>
      </c>
      <c r="U328" s="376">
        <f>V328</f>
        <v>51525</v>
      </c>
      <c r="V328" s="376">
        <f>45958+5567</f>
        <v>51525</v>
      </c>
      <c r="W328" s="376">
        <v>0</v>
      </c>
      <c r="X328" s="376">
        <v>0</v>
      </c>
      <c r="Y328" s="376"/>
      <c r="Z328" s="376"/>
      <c r="AA328" s="376"/>
      <c r="AB328" s="314" t="s">
        <v>684</v>
      </c>
    </row>
    <row r="329" spans="1:28" ht="150">
      <c r="A329" s="339" t="s">
        <v>6</v>
      </c>
      <c r="B329" s="375" t="s">
        <v>1008</v>
      </c>
      <c r="C329" s="331" t="s">
        <v>1004</v>
      </c>
      <c r="D329" s="375" t="s">
        <v>1009</v>
      </c>
      <c r="E329" s="341" t="s">
        <v>743</v>
      </c>
      <c r="F329" s="321" t="s">
        <v>1010</v>
      </c>
      <c r="G329" s="410">
        <v>252999</v>
      </c>
      <c r="H329" s="410">
        <v>130000</v>
      </c>
      <c r="I329" s="403">
        <v>96914</v>
      </c>
      <c r="J329" s="376">
        <v>96914</v>
      </c>
      <c r="K329" s="376"/>
      <c r="L329" s="376"/>
      <c r="M329" s="376">
        <v>1441</v>
      </c>
      <c r="N329" s="376">
        <v>1441</v>
      </c>
      <c r="O329" s="376">
        <v>0</v>
      </c>
      <c r="P329" s="376">
        <v>0</v>
      </c>
      <c r="Q329" s="376">
        <v>0</v>
      </c>
      <c r="R329" s="376"/>
      <c r="S329" s="376">
        <v>0</v>
      </c>
      <c r="T329" s="376"/>
      <c r="U329" s="376">
        <v>84970</v>
      </c>
      <c r="V329" s="376">
        <v>84970</v>
      </c>
      <c r="W329" s="376">
        <v>0</v>
      </c>
      <c r="X329" s="376">
        <v>0</v>
      </c>
      <c r="Y329" s="376"/>
      <c r="Z329" s="376"/>
      <c r="AA329" s="376"/>
      <c r="AB329" s="314" t="s">
        <v>1002</v>
      </c>
    </row>
    <row r="330" spans="1:28" ht="37.5">
      <c r="A330" s="303" t="s">
        <v>41</v>
      </c>
      <c r="B330" s="304" t="s">
        <v>109</v>
      </c>
      <c r="C330" s="313"/>
      <c r="D330" s="313"/>
      <c r="E330" s="313"/>
      <c r="F330" s="313"/>
      <c r="G330" s="372">
        <f>G331+G333</f>
        <v>316037</v>
      </c>
      <c r="H330" s="372">
        <f t="shared" ref="H330:Z330" si="133">H331+H333</f>
        <v>214513</v>
      </c>
      <c r="I330" s="372">
        <f t="shared" si="133"/>
        <v>247804</v>
      </c>
      <c r="J330" s="372">
        <f t="shared" si="133"/>
        <v>131524</v>
      </c>
      <c r="K330" s="372">
        <f t="shared" si="133"/>
        <v>0</v>
      </c>
      <c r="L330" s="372">
        <f t="shared" si="133"/>
        <v>0</v>
      </c>
      <c r="M330" s="372">
        <f t="shared" si="133"/>
        <v>81209</v>
      </c>
      <c r="N330" s="372">
        <f t="shared" si="133"/>
        <v>31209</v>
      </c>
      <c r="O330" s="372">
        <f t="shared" si="133"/>
        <v>4437</v>
      </c>
      <c r="P330" s="372">
        <f t="shared" si="133"/>
        <v>2113</v>
      </c>
      <c r="Q330" s="372">
        <f t="shared" si="133"/>
        <v>12113</v>
      </c>
      <c r="R330" s="372">
        <f t="shared" si="133"/>
        <v>2113</v>
      </c>
      <c r="S330" s="372">
        <f t="shared" si="133"/>
        <v>22113</v>
      </c>
      <c r="T330" s="372">
        <f t="shared" si="133"/>
        <v>2113</v>
      </c>
      <c r="U330" s="372">
        <f t="shared" si="133"/>
        <v>170966</v>
      </c>
      <c r="V330" s="372">
        <f t="shared" si="133"/>
        <v>94001</v>
      </c>
      <c r="W330" s="372">
        <f t="shared" si="133"/>
        <v>92445</v>
      </c>
      <c r="X330" s="372">
        <f t="shared" si="133"/>
        <v>55530</v>
      </c>
      <c r="Y330" s="372">
        <f t="shared" si="133"/>
        <v>0</v>
      </c>
      <c r="Z330" s="372">
        <f t="shared" si="133"/>
        <v>0</v>
      </c>
      <c r="AA330" s="315"/>
      <c r="AB330" s="314"/>
    </row>
    <row r="331" spans="1:28" ht="19.5">
      <c r="A331" s="307" t="s">
        <v>46</v>
      </c>
      <c r="B331" s="308" t="s">
        <v>18</v>
      </c>
      <c r="C331" s="309"/>
      <c r="D331" s="309"/>
      <c r="E331" s="309"/>
      <c r="F331" s="309"/>
      <c r="G331" s="374">
        <f>G332</f>
        <v>243411</v>
      </c>
      <c r="H331" s="374">
        <f t="shared" ref="H331:Z331" si="134">H332</f>
        <v>141887</v>
      </c>
      <c r="I331" s="374">
        <f t="shared" si="134"/>
        <v>217804</v>
      </c>
      <c r="J331" s="374">
        <f t="shared" si="134"/>
        <v>101524</v>
      </c>
      <c r="K331" s="374">
        <f t="shared" si="134"/>
        <v>0</v>
      </c>
      <c r="L331" s="374">
        <f t="shared" si="134"/>
        <v>0</v>
      </c>
      <c r="M331" s="374">
        <f t="shared" si="134"/>
        <v>81209</v>
      </c>
      <c r="N331" s="374">
        <f t="shared" si="134"/>
        <v>31209</v>
      </c>
      <c r="O331" s="374">
        <f t="shared" si="134"/>
        <v>4437</v>
      </c>
      <c r="P331" s="374">
        <f t="shared" si="134"/>
        <v>2113</v>
      </c>
      <c r="Q331" s="374">
        <f t="shared" si="134"/>
        <v>12113</v>
      </c>
      <c r="R331" s="374">
        <f t="shared" si="134"/>
        <v>2113</v>
      </c>
      <c r="S331" s="374">
        <f t="shared" si="134"/>
        <v>22113</v>
      </c>
      <c r="T331" s="374">
        <f t="shared" si="134"/>
        <v>2113</v>
      </c>
      <c r="U331" s="374">
        <f t="shared" si="134"/>
        <v>170966</v>
      </c>
      <c r="V331" s="374">
        <f t="shared" si="134"/>
        <v>94001</v>
      </c>
      <c r="W331" s="374">
        <f t="shared" si="134"/>
        <v>72445</v>
      </c>
      <c r="X331" s="374">
        <f t="shared" si="134"/>
        <v>35530</v>
      </c>
      <c r="Y331" s="374">
        <f t="shared" si="134"/>
        <v>0</v>
      </c>
      <c r="Z331" s="374">
        <f t="shared" si="134"/>
        <v>0</v>
      </c>
      <c r="AA331" s="310"/>
      <c r="AB331" s="314"/>
    </row>
    <row r="332" spans="1:28" ht="93.75">
      <c r="A332" s="86"/>
      <c r="B332" s="87" t="s">
        <v>615</v>
      </c>
      <c r="C332" s="88" t="s">
        <v>396</v>
      </c>
      <c r="D332" s="88" t="s">
        <v>622</v>
      </c>
      <c r="E332" s="88" t="s">
        <v>316</v>
      </c>
      <c r="F332" s="88" t="s">
        <v>616</v>
      </c>
      <c r="G332" s="85">
        <v>243411</v>
      </c>
      <c r="H332" s="85">
        <v>141887</v>
      </c>
      <c r="I332" s="85">
        <v>217804</v>
      </c>
      <c r="J332" s="85">
        <v>101524</v>
      </c>
      <c r="K332" s="85"/>
      <c r="L332" s="85"/>
      <c r="M332" s="85">
        <v>81209</v>
      </c>
      <c r="N332" s="85">
        <v>31209</v>
      </c>
      <c r="O332" s="85">
        <v>4437</v>
      </c>
      <c r="P332" s="85">
        <v>2113</v>
      </c>
      <c r="Q332" s="85">
        <v>12113</v>
      </c>
      <c r="R332" s="85">
        <v>2113</v>
      </c>
      <c r="S332" s="85">
        <v>22113</v>
      </c>
      <c r="T332" s="85">
        <v>2113</v>
      </c>
      <c r="U332" s="85">
        <v>170966</v>
      </c>
      <c r="V332" s="85">
        <v>94001</v>
      </c>
      <c r="W332" s="85">
        <f>36915+35530</f>
        <v>72445</v>
      </c>
      <c r="X332" s="85">
        <v>35530</v>
      </c>
      <c r="Y332" s="86"/>
      <c r="Z332" s="86"/>
      <c r="AA332" s="89"/>
      <c r="AB332" s="314" t="s">
        <v>620</v>
      </c>
    </row>
    <row r="333" spans="1:28" ht="19.5">
      <c r="A333" s="307" t="s">
        <v>19</v>
      </c>
      <c r="B333" s="308" t="s">
        <v>20</v>
      </c>
      <c r="C333" s="309"/>
      <c r="D333" s="309"/>
      <c r="E333" s="309"/>
      <c r="F333" s="309"/>
      <c r="G333" s="411">
        <f>G334</f>
        <v>72626</v>
      </c>
      <c r="H333" s="411">
        <f t="shared" ref="H333:Z333" si="135">H334</f>
        <v>72626</v>
      </c>
      <c r="I333" s="411">
        <f t="shared" si="135"/>
        <v>30000</v>
      </c>
      <c r="J333" s="411">
        <f t="shared" si="135"/>
        <v>30000</v>
      </c>
      <c r="K333" s="411">
        <f t="shared" si="135"/>
        <v>0</v>
      </c>
      <c r="L333" s="411">
        <f t="shared" si="135"/>
        <v>0</v>
      </c>
      <c r="M333" s="411">
        <f t="shared" si="135"/>
        <v>0</v>
      </c>
      <c r="N333" s="411">
        <f t="shared" si="135"/>
        <v>0</v>
      </c>
      <c r="O333" s="411">
        <f t="shared" si="135"/>
        <v>0</v>
      </c>
      <c r="P333" s="411">
        <f t="shared" si="135"/>
        <v>0</v>
      </c>
      <c r="Q333" s="411">
        <f t="shared" si="135"/>
        <v>0</v>
      </c>
      <c r="R333" s="411">
        <f t="shared" si="135"/>
        <v>0</v>
      </c>
      <c r="S333" s="411">
        <f t="shared" si="135"/>
        <v>0</v>
      </c>
      <c r="T333" s="411">
        <f t="shared" si="135"/>
        <v>0</v>
      </c>
      <c r="U333" s="411">
        <f t="shared" si="135"/>
        <v>0</v>
      </c>
      <c r="V333" s="411">
        <f t="shared" si="135"/>
        <v>0</v>
      </c>
      <c r="W333" s="411">
        <f t="shared" si="135"/>
        <v>20000</v>
      </c>
      <c r="X333" s="411">
        <f t="shared" si="135"/>
        <v>20000</v>
      </c>
      <c r="Y333" s="411">
        <f t="shared" si="135"/>
        <v>0</v>
      </c>
      <c r="Z333" s="411">
        <f t="shared" si="135"/>
        <v>0</v>
      </c>
      <c r="AA333" s="310"/>
      <c r="AB333" s="314"/>
    </row>
    <row r="334" spans="1:28" ht="168.75">
      <c r="A334" s="311"/>
      <c r="B334" s="412" t="s">
        <v>617</v>
      </c>
      <c r="C334" s="313" t="s">
        <v>465</v>
      </c>
      <c r="D334" s="313" t="s">
        <v>623</v>
      </c>
      <c r="E334" s="313" t="s">
        <v>289</v>
      </c>
      <c r="F334" s="313" t="s">
        <v>618</v>
      </c>
      <c r="G334" s="90">
        <v>72626</v>
      </c>
      <c r="H334" s="90">
        <v>72626</v>
      </c>
      <c r="I334" s="90">
        <v>30000</v>
      </c>
      <c r="J334" s="90">
        <v>30000</v>
      </c>
      <c r="K334" s="90"/>
      <c r="L334" s="90"/>
      <c r="M334" s="90"/>
      <c r="N334" s="90"/>
      <c r="O334" s="90"/>
      <c r="P334" s="90"/>
      <c r="Q334" s="90"/>
      <c r="R334" s="90"/>
      <c r="S334" s="90"/>
      <c r="T334" s="90"/>
      <c r="U334" s="90"/>
      <c r="V334" s="90"/>
      <c r="W334" s="90">
        <v>20000</v>
      </c>
      <c r="X334" s="90">
        <v>20000</v>
      </c>
      <c r="Y334" s="315"/>
      <c r="Z334" s="315"/>
      <c r="AA334" s="313" t="s">
        <v>619</v>
      </c>
      <c r="AB334" s="314" t="s">
        <v>620</v>
      </c>
    </row>
    <row r="335" spans="1:28" ht="37.5">
      <c r="A335" s="391" t="s">
        <v>604</v>
      </c>
      <c r="B335" s="301" t="s">
        <v>302</v>
      </c>
      <c r="C335" s="297"/>
      <c r="D335" s="297"/>
      <c r="E335" s="297"/>
      <c r="F335" s="297"/>
      <c r="G335" s="298">
        <f>G336</f>
        <v>318006</v>
      </c>
      <c r="H335" s="298">
        <f t="shared" ref="H335:Z335" si="136">H336</f>
        <v>170234</v>
      </c>
      <c r="I335" s="298">
        <f t="shared" si="136"/>
        <v>83631</v>
      </c>
      <c r="J335" s="298">
        <f t="shared" si="136"/>
        <v>83631</v>
      </c>
      <c r="K335" s="298">
        <f t="shared" si="136"/>
        <v>0</v>
      </c>
      <c r="L335" s="298">
        <f t="shared" si="136"/>
        <v>0</v>
      </c>
      <c r="M335" s="298">
        <f t="shared" si="136"/>
        <v>50000</v>
      </c>
      <c r="N335" s="298">
        <f t="shared" si="136"/>
        <v>50000</v>
      </c>
      <c r="O335" s="298">
        <f t="shared" si="136"/>
        <v>0</v>
      </c>
      <c r="P335" s="298">
        <f t="shared" si="136"/>
        <v>0</v>
      </c>
      <c r="Q335" s="298">
        <f t="shared" si="136"/>
        <v>20000</v>
      </c>
      <c r="R335" s="298">
        <f t="shared" si="136"/>
        <v>20000</v>
      </c>
      <c r="S335" s="298">
        <f t="shared" si="136"/>
        <v>30000</v>
      </c>
      <c r="T335" s="298">
        <f t="shared" si="136"/>
        <v>30000</v>
      </c>
      <c r="U335" s="298">
        <f t="shared" si="136"/>
        <v>30000</v>
      </c>
      <c r="V335" s="298">
        <f t="shared" si="136"/>
        <v>30000</v>
      </c>
      <c r="W335" s="298">
        <f t="shared" si="136"/>
        <v>53631</v>
      </c>
      <c r="X335" s="298">
        <f t="shared" si="136"/>
        <v>53631</v>
      </c>
      <c r="Y335" s="298">
        <f t="shared" si="136"/>
        <v>0</v>
      </c>
      <c r="Z335" s="298">
        <f t="shared" si="136"/>
        <v>0</v>
      </c>
      <c r="AA335" s="297"/>
      <c r="AB335" s="299"/>
    </row>
    <row r="336" spans="1:28">
      <c r="A336" s="302" t="s">
        <v>43</v>
      </c>
      <c r="B336" s="301" t="s">
        <v>58</v>
      </c>
      <c r="C336" s="313"/>
      <c r="D336" s="318"/>
      <c r="E336" s="313"/>
      <c r="F336" s="313"/>
      <c r="G336" s="108">
        <f>G337+G340</f>
        <v>318006</v>
      </c>
      <c r="H336" s="108">
        <f t="shared" ref="H336:Z336" si="137">H337+H340</f>
        <v>170234</v>
      </c>
      <c r="I336" s="108">
        <f t="shared" si="137"/>
        <v>83631</v>
      </c>
      <c r="J336" s="108">
        <f t="shared" si="137"/>
        <v>83631</v>
      </c>
      <c r="K336" s="108">
        <f t="shared" si="137"/>
        <v>0</v>
      </c>
      <c r="L336" s="108">
        <f t="shared" si="137"/>
        <v>0</v>
      </c>
      <c r="M336" s="108">
        <f t="shared" si="137"/>
        <v>50000</v>
      </c>
      <c r="N336" s="108">
        <f t="shared" si="137"/>
        <v>50000</v>
      </c>
      <c r="O336" s="108">
        <f t="shared" si="137"/>
        <v>0</v>
      </c>
      <c r="P336" s="108">
        <f t="shared" si="137"/>
        <v>0</v>
      </c>
      <c r="Q336" s="108">
        <f t="shared" si="137"/>
        <v>20000</v>
      </c>
      <c r="R336" s="108">
        <f t="shared" si="137"/>
        <v>20000</v>
      </c>
      <c r="S336" s="108">
        <f t="shared" si="137"/>
        <v>30000</v>
      </c>
      <c r="T336" s="108">
        <f t="shared" si="137"/>
        <v>30000</v>
      </c>
      <c r="U336" s="108">
        <f t="shared" si="137"/>
        <v>30000</v>
      </c>
      <c r="V336" s="108">
        <f t="shared" si="137"/>
        <v>30000</v>
      </c>
      <c r="W336" s="108">
        <f t="shared" si="137"/>
        <v>53631</v>
      </c>
      <c r="X336" s="108">
        <f t="shared" si="137"/>
        <v>53631</v>
      </c>
      <c r="Y336" s="108">
        <f t="shared" si="137"/>
        <v>0</v>
      </c>
      <c r="Z336" s="108">
        <f t="shared" si="137"/>
        <v>0</v>
      </c>
      <c r="AA336" s="315"/>
      <c r="AB336" s="343"/>
    </row>
    <row r="337" spans="1:28" ht="37.5">
      <c r="A337" s="303" t="s">
        <v>23</v>
      </c>
      <c r="B337" s="304" t="s">
        <v>110</v>
      </c>
      <c r="C337" s="313"/>
      <c r="D337" s="313"/>
      <c r="E337" s="313"/>
      <c r="F337" s="313"/>
      <c r="G337" s="372">
        <f>G338</f>
        <v>303486</v>
      </c>
      <c r="H337" s="372">
        <f t="shared" ref="H337:Z337" si="138">H338</f>
        <v>159733</v>
      </c>
      <c r="I337" s="372">
        <f t="shared" si="138"/>
        <v>73130</v>
      </c>
      <c r="J337" s="372">
        <f t="shared" si="138"/>
        <v>73130</v>
      </c>
      <c r="K337" s="372">
        <f t="shared" si="138"/>
        <v>0</v>
      </c>
      <c r="L337" s="372">
        <f t="shared" si="138"/>
        <v>0</v>
      </c>
      <c r="M337" s="372">
        <f t="shared" si="138"/>
        <v>50000</v>
      </c>
      <c r="N337" s="372">
        <f t="shared" si="138"/>
        <v>50000</v>
      </c>
      <c r="O337" s="372">
        <f t="shared" si="138"/>
        <v>0</v>
      </c>
      <c r="P337" s="372">
        <f t="shared" si="138"/>
        <v>0</v>
      </c>
      <c r="Q337" s="372">
        <f t="shared" si="138"/>
        <v>20000</v>
      </c>
      <c r="R337" s="372">
        <f t="shared" si="138"/>
        <v>20000</v>
      </c>
      <c r="S337" s="372">
        <f t="shared" si="138"/>
        <v>30000</v>
      </c>
      <c r="T337" s="372">
        <f t="shared" si="138"/>
        <v>30000</v>
      </c>
      <c r="U337" s="372">
        <f t="shared" si="138"/>
        <v>30000</v>
      </c>
      <c r="V337" s="372">
        <f t="shared" si="138"/>
        <v>30000</v>
      </c>
      <c r="W337" s="372">
        <f t="shared" si="138"/>
        <v>43130</v>
      </c>
      <c r="X337" s="372">
        <f t="shared" si="138"/>
        <v>43130</v>
      </c>
      <c r="Y337" s="372">
        <f t="shared" si="138"/>
        <v>0</v>
      </c>
      <c r="Z337" s="372">
        <f t="shared" si="138"/>
        <v>0</v>
      </c>
      <c r="AA337" s="315"/>
      <c r="AB337" s="343"/>
    </row>
    <row r="338" spans="1:28" ht="19.5">
      <c r="A338" s="307" t="s">
        <v>46</v>
      </c>
      <c r="B338" s="308" t="s">
        <v>18</v>
      </c>
      <c r="C338" s="309"/>
      <c r="D338" s="309"/>
      <c r="E338" s="309"/>
      <c r="F338" s="309"/>
      <c r="G338" s="109">
        <f>G339</f>
        <v>303486</v>
      </c>
      <c r="H338" s="109">
        <f t="shared" ref="H338:Z338" si="139">H339</f>
        <v>159733</v>
      </c>
      <c r="I338" s="109">
        <f t="shared" si="139"/>
        <v>73130</v>
      </c>
      <c r="J338" s="109">
        <f t="shared" si="139"/>
        <v>73130</v>
      </c>
      <c r="K338" s="109">
        <f t="shared" si="139"/>
        <v>0</v>
      </c>
      <c r="L338" s="109">
        <f t="shared" si="139"/>
        <v>0</v>
      </c>
      <c r="M338" s="109">
        <f t="shared" si="139"/>
        <v>50000</v>
      </c>
      <c r="N338" s="109">
        <f t="shared" si="139"/>
        <v>50000</v>
      </c>
      <c r="O338" s="109">
        <f t="shared" si="139"/>
        <v>0</v>
      </c>
      <c r="P338" s="109">
        <f t="shared" si="139"/>
        <v>0</v>
      </c>
      <c r="Q338" s="109">
        <f t="shared" si="139"/>
        <v>20000</v>
      </c>
      <c r="R338" s="109">
        <f t="shared" si="139"/>
        <v>20000</v>
      </c>
      <c r="S338" s="109">
        <f t="shared" si="139"/>
        <v>30000</v>
      </c>
      <c r="T338" s="109">
        <f t="shared" si="139"/>
        <v>30000</v>
      </c>
      <c r="U338" s="109">
        <f t="shared" si="139"/>
        <v>30000</v>
      </c>
      <c r="V338" s="109">
        <f t="shared" si="139"/>
        <v>30000</v>
      </c>
      <c r="W338" s="109">
        <f t="shared" si="139"/>
        <v>43130</v>
      </c>
      <c r="X338" s="109">
        <f t="shared" si="139"/>
        <v>43130</v>
      </c>
      <c r="Y338" s="109">
        <f t="shared" si="139"/>
        <v>0</v>
      </c>
      <c r="Z338" s="109">
        <f t="shared" si="139"/>
        <v>0</v>
      </c>
      <c r="AA338" s="310"/>
      <c r="AB338" s="343"/>
    </row>
    <row r="339" spans="1:28" s="278" customFormat="1" ht="75">
      <c r="A339" s="311"/>
      <c r="B339" s="322" t="s">
        <v>303</v>
      </c>
      <c r="C339" s="314" t="s">
        <v>304</v>
      </c>
      <c r="D339" s="314" t="s">
        <v>824</v>
      </c>
      <c r="E339" s="314" t="s">
        <v>305</v>
      </c>
      <c r="F339" s="314" t="s">
        <v>306</v>
      </c>
      <c r="G339" s="354">
        <v>303486</v>
      </c>
      <c r="H339" s="354">
        <v>159733</v>
      </c>
      <c r="I339" s="110">
        <v>73130</v>
      </c>
      <c r="J339" s="110">
        <v>73130</v>
      </c>
      <c r="K339" s="110">
        <v>0</v>
      </c>
      <c r="L339" s="110">
        <v>0</v>
      </c>
      <c r="M339" s="110">
        <v>50000</v>
      </c>
      <c r="N339" s="110">
        <v>50000</v>
      </c>
      <c r="O339" s="110">
        <v>0</v>
      </c>
      <c r="P339" s="110">
        <v>0</v>
      </c>
      <c r="Q339" s="110">
        <v>20000</v>
      </c>
      <c r="R339" s="110">
        <v>20000</v>
      </c>
      <c r="S339" s="110">
        <v>30000</v>
      </c>
      <c r="T339" s="110">
        <v>30000</v>
      </c>
      <c r="U339" s="110">
        <v>30000</v>
      </c>
      <c r="V339" s="110">
        <v>30000</v>
      </c>
      <c r="W339" s="110">
        <v>43130</v>
      </c>
      <c r="X339" s="110">
        <f>J339-V339</f>
        <v>43130</v>
      </c>
      <c r="Y339" s="110"/>
      <c r="Z339" s="110"/>
      <c r="AA339" s="110"/>
      <c r="AB339" s="329" t="s">
        <v>596</v>
      </c>
    </row>
    <row r="340" spans="1:28" ht="37.5">
      <c r="A340" s="303" t="s">
        <v>24</v>
      </c>
      <c r="B340" s="304" t="s">
        <v>115</v>
      </c>
      <c r="C340" s="313"/>
      <c r="D340" s="313"/>
      <c r="E340" s="313"/>
      <c r="F340" s="313"/>
      <c r="G340" s="372">
        <f>G341</f>
        <v>14520</v>
      </c>
      <c r="H340" s="372">
        <f t="shared" ref="H340:Z340" si="140">H341</f>
        <v>10501</v>
      </c>
      <c r="I340" s="372">
        <f t="shared" si="140"/>
        <v>10501</v>
      </c>
      <c r="J340" s="372">
        <f t="shared" si="140"/>
        <v>10501</v>
      </c>
      <c r="K340" s="372">
        <f t="shared" si="140"/>
        <v>0</v>
      </c>
      <c r="L340" s="372">
        <f t="shared" si="140"/>
        <v>0</v>
      </c>
      <c r="M340" s="372">
        <f t="shared" si="140"/>
        <v>0</v>
      </c>
      <c r="N340" s="372">
        <f t="shared" si="140"/>
        <v>0</v>
      </c>
      <c r="O340" s="372">
        <f t="shared" si="140"/>
        <v>0</v>
      </c>
      <c r="P340" s="372">
        <f t="shared" si="140"/>
        <v>0</v>
      </c>
      <c r="Q340" s="372">
        <f t="shared" si="140"/>
        <v>0</v>
      </c>
      <c r="R340" s="372">
        <f t="shared" si="140"/>
        <v>0</v>
      </c>
      <c r="S340" s="372">
        <f t="shared" si="140"/>
        <v>0</v>
      </c>
      <c r="T340" s="372">
        <f t="shared" si="140"/>
        <v>0</v>
      </c>
      <c r="U340" s="372">
        <f t="shared" si="140"/>
        <v>0</v>
      </c>
      <c r="V340" s="372">
        <f t="shared" si="140"/>
        <v>0</v>
      </c>
      <c r="W340" s="372">
        <f t="shared" si="140"/>
        <v>10501</v>
      </c>
      <c r="X340" s="372">
        <f t="shared" si="140"/>
        <v>10501</v>
      </c>
      <c r="Y340" s="372">
        <f t="shared" si="140"/>
        <v>0</v>
      </c>
      <c r="Z340" s="372">
        <f t="shared" si="140"/>
        <v>0</v>
      </c>
      <c r="AA340" s="315"/>
      <c r="AB340" s="343"/>
    </row>
    <row r="341" spans="1:28" ht="19.5">
      <c r="A341" s="307" t="s">
        <v>19</v>
      </c>
      <c r="B341" s="308" t="s">
        <v>20</v>
      </c>
      <c r="C341" s="313"/>
      <c r="D341" s="313"/>
      <c r="E341" s="313"/>
      <c r="F341" s="313"/>
      <c r="G341" s="374">
        <f>G342</f>
        <v>14520</v>
      </c>
      <c r="H341" s="374">
        <f t="shared" ref="H341:Z341" si="141">H342</f>
        <v>10501</v>
      </c>
      <c r="I341" s="374">
        <f t="shared" si="141"/>
        <v>10501</v>
      </c>
      <c r="J341" s="374">
        <f t="shared" si="141"/>
        <v>10501</v>
      </c>
      <c r="K341" s="374">
        <f t="shared" si="141"/>
        <v>0</v>
      </c>
      <c r="L341" s="374">
        <f t="shared" si="141"/>
        <v>0</v>
      </c>
      <c r="M341" s="374">
        <f t="shared" si="141"/>
        <v>0</v>
      </c>
      <c r="N341" s="374">
        <f t="shared" si="141"/>
        <v>0</v>
      </c>
      <c r="O341" s="374">
        <f t="shared" si="141"/>
        <v>0</v>
      </c>
      <c r="P341" s="374">
        <f t="shared" si="141"/>
        <v>0</v>
      </c>
      <c r="Q341" s="374">
        <f t="shared" si="141"/>
        <v>0</v>
      </c>
      <c r="R341" s="374">
        <f t="shared" si="141"/>
        <v>0</v>
      </c>
      <c r="S341" s="374">
        <f t="shared" si="141"/>
        <v>0</v>
      </c>
      <c r="T341" s="374">
        <f t="shared" si="141"/>
        <v>0</v>
      </c>
      <c r="U341" s="374">
        <f t="shared" si="141"/>
        <v>0</v>
      </c>
      <c r="V341" s="374">
        <f t="shared" si="141"/>
        <v>0</v>
      </c>
      <c r="W341" s="374">
        <f t="shared" si="141"/>
        <v>10501</v>
      </c>
      <c r="X341" s="374">
        <f t="shared" si="141"/>
        <v>10501</v>
      </c>
      <c r="Y341" s="374">
        <f t="shared" si="141"/>
        <v>0</v>
      </c>
      <c r="Z341" s="374">
        <f t="shared" si="141"/>
        <v>0</v>
      </c>
      <c r="AA341" s="407"/>
      <c r="AB341" s="343"/>
    </row>
    <row r="342" spans="1:28" s="278" customFormat="1" ht="56.25">
      <c r="A342" s="311"/>
      <c r="B342" s="325" t="s">
        <v>307</v>
      </c>
      <c r="C342" s="313" t="s">
        <v>304</v>
      </c>
      <c r="D342" s="313" t="s">
        <v>308</v>
      </c>
      <c r="E342" s="313"/>
      <c r="F342" s="314" t="s">
        <v>309</v>
      </c>
      <c r="G342" s="110">
        <v>14520</v>
      </c>
      <c r="H342" s="110">
        <v>10501</v>
      </c>
      <c r="I342" s="110">
        <v>10501</v>
      </c>
      <c r="J342" s="110">
        <v>10501</v>
      </c>
      <c r="K342" s="110">
        <v>0</v>
      </c>
      <c r="L342" s="110">
        <v>0</v>
      </c>
      <c r="M342" s="110">
        <v>0</v>
      </c>
      <c r="N342" s="110">
        <v>0</v>
      </c>
      <c r="O342" s="110">
        <v>0</v>
      </c>
      <c r="P342" s="110">
        <v>0</v>
      </c>
      <c r="Q342" s="110">
        <v>0</v>
      </c>
      <c r="R342" s="110">
        <v>0</v>
      </c>
      <c r="S342" s="110">
        <v>0</v>
      </c>
      <c r="T342" s="110">
        <v>0</v>
      </c>
      <c r="U342" s="110">
        <v>0</v>
      </c>
      <c r="V342" s="110">
        <v>0</v>
      </c>
      <c r="W342" s="110">
        <v>10501</v>
      </c>
      <c r="X342" s="110">
        <v>10501</v>
      </c>
      <c r="Y342" s="110">
        <v>0</v>
      </c>
      <c r="Z342" s="110">
        <v>0</v>
      </c>
      <c r="AA342" s="315"/>
      <c r="AB342" s="329" t="s">
        <v>596</v>
      </c>
    </row>
    <row r="343" spans="1:28" s="278" customFormat="1" ht="37.5">
      <c r="A343" s="391" t="s">
        <v>624</v>
      </c>
      <c r="B343" s="301" t="s">
        <v>529</v>
      </c>
      <c r="C343" s="297"/>
      <c r="D343" s="297"/>
      <c r="E343" s="297"/>
      <c r="F343" s="297"/>
      <c r="G343" s="298">
        <f>G344</f>
        <v>99185</v>
      </c>
      <c r="H343" s="298">
        <f t="shared" ref="H343:Z343" si="142">H344</f>
        <v>99185</v>
      </c>
      <c r="I343" s="298">
        <f t="shared" si="142"/>
        <v>99185</v>
      </c>
      <c r="J343" s="298">
        <f t="shared" si="142"/>
        <v>99185</v>
      </c>
      <c r="K343" s="298">
        <f t="shared" si="142"/>
        <v>9602</v>
      </c>
      <c r="L343" s="298">
        <f t="shared" si="142"/>
        <v>0</v>
      </c>
      <c r="M343" s="298">
        <f t="shared" si="142"/>
        <v>8958</v>
      </c>
      <c r="N343" s="298">
        <f t="shared" si="142"/>
        <v>8958</v>
      </c>
      <c r="O343" s="298">
        <f t="shared" si="142"/>
        <v>32</v>
      </c>
      <c r="P343" s="298">
        <f t="shared" si="142"/>
        <v>32</v>
      </c>
      <c r="Q343" s="298">
        <f t="shared" si="142"/>
        <v>15956</v>
      </c>
      <c r="R343" s="298">
        <f t="shared" si="142"/>
        <v>15956</v>
      </c>
      <c r="S343" s="298">
        <f t="shared" si="142"/>
        <v>17730</v>
      </c>
      <c r="T343" s="298">
        <f t="shared" si="142"/>
        <v>17730</v>
      </c>
      <c r="U343" s="298">
        <f t="shared" si="142"/>
        <v>89583</v>
      </c>
      <c r="V343" s="298">
        <f t="shared" si="142"/>
        <v>89583</v>
      </c>
      <c r="W343" s="298">
        <f t="shared" si="142"/>
        <v>0</v>
      </c>
      <c r="X343" s="298">
        <f t="shared" si="142"/>
        <v>0</v>
      </c>
      <c r="Y343" s="298">
        <f t="shared" si="142"/>
        <v>0</v>
      </c>
      <c r="Z343" s="298">
        <f t="shared" si="142"/>
        <v>0</v>
      </c>
      <c r="AA343" s="297"/>
      <c r="AB343" s="299"/>
    </row>
    <row r="344" spans="1:28" s="278" customFormat="1" ht="19.5">
      <c r="A344" s="302" t="s">
        <v>43</v>
      </c>
      <c r="B344" s="301" t="s">
        <v>58</v>
      </c>
      <c r="C344" s="297"/>
      <c r="D344" s="297"/>
      <c r="E344" s="297"/>
      <c r="F344" s="297"/>
      <c r="G344" s="104">
        <f>+G345</f>
        <v>99185</v>
      </c>
      <c r="H344" s="104">
        <f t="shared" ref="H344:Z344" si="143">+H345</f>
        <v>99185</v>
      </c>
      <c r="I344" s="104">
        <f t="shared" si="143"/>
        <v>99185</v>
      </c>
      <c r="J344" s="104">
        <f t="shared" si="143"/>
        <v>99185</v>
      </c>
      <c r="K344" s="104">
        <f t="shared" si="143"/>
        <v>9602</v>
      </c>
      <c r="L344" s="104">
        <f t="shared" si="143"/>
        <v>0</v>
      </c>
      <c r="M344" s="104">
        <f t="shared" si="143"/>
        <v>8958</v>
      </c>
      <c r="N344" s="104">
        <f t="shared" si="143"/>
        <v>8958</v>
      </c>
      <c r="O344" s="104">
        <f t="shared" si="143"/>
        <v>32</v>
      </c>
      <c r="P344" s="104">
        <f t="shared" si="143"/>
        <v>32</v>
      </c>
      <c r="Q344" s="104">
        <f t="shared" si="143"/>
        <v>15956</v>
      </c>
      <c r="R344" s="104">
        <f t="shared" si="143"/>
        <v>15956</v>
      </c>
      <c r="S344" s="104">
        <f t="shared" si="143"/>
        <v>17730</v>
      </c>
      <c r="T344" s="104">
        <f t="shared" si="143"/>
        <v>17730</v>
      </c>
      <c r="U344" s="104">
        <f t="shared" si="143"/>
        <v>89583</v>
      </c>
      <c r="V344" s="104">
        <f t="shared" si="143"/>
        <v>89583</v>
      </c>
      <c r="W344" s="104">
        <f t="shared" si="143"/>
        <v>0</v>
      </c>
      <c r="X344" s="104">
        <f t="shared" si="143"/>
        <v>0</v>
      </c>
      <c r="Y344" s="104">
        <f t="shared" si="143"/>
        <v>0</v>
      </c>
      <c r="Z344" s="104">
        <f t="shared" si="143"/>
        <v>0</v>
      </c>
      <c r="AA344" s="297"/>
      <c r="AB344" s="380"/>
    </row>
    <row r="345" spans="1:28" s="278" customFormat="1" ht="56.25">
      <c r="A345" s="303" t="s">
        <v>39</v>
      </c>
      <c r="B345" s="304" t="s">
        <v>108</v>
      </c>
      <c r="C345" s="305"/>
      <c r="D345" s="305"/>
      <c r="E345" s="305"/>
      <c r="F345" s="305"/>
      <c r="G345" s="104">
        <f>+G346</f>
        <v>99185</v>
      </c>
      <c r="H345" s="104">
        <f t="shared" ref="H345:Z345" si="144">+H346</f>
        <v>99185</v>
      </c>
      <c r="I345" s="104">
        <f t="shared" si="144"/>
        <v>99185</v>
      </c>
      <c r="J345" s="104">
        <f t="shared" si="144"/>
        <v>99185</v>
      </c>
      <c r="K345" s="104">
        <f t="shared" si="144"/>
        <v>9602</v>
      </c>
      <c r="L345" s="104">
        <f t="shared" si="144"/>
        <v>0</v>
      </c>
      <c r="M345" s="104">
        <f t="shared" si="144"/>
        <v>8958</v>
      </c>
      <c r="N345" s="104">
        <f t="shared" si="144"/>
        <v>8958</v>
      </c>
      <c r="O345" s="104">
        <f t="shared" si="144"/>
        <v>32</v>
      </c>
      <c r="P345" s="104">
        <f t="shared" si="144"/>
        <v>32</v>
      </c>
      <c r="Q345" s="104">
        <f t="shared" si="144"/>
        <v>15956</v>
      </c>
      <c r="R345" s="104">
        <f t="shared" si="144"/>
        <v>15956</v>
      </c>
      <c r="S345" s="104">
        <f t="shared" si="144"/>
        <v>17730</v>
      </c>
      <c r="T345" s="104">
        <f t="shared" si="144"/>
        <v>17730</v>
      </c>
      <c r="U345" s="104">
        <f t="shared" si="144"/>
        <v>89583</v>
      </c>
      <c r="V345" s="104">
        <f t="shared" si="144"/>
        <v>89583</v>
      </c>
      <c r="W345" s="104">
        <f t="shared" si="144"/>
        <v>0</v>
      </c>
      <c r="X345" s="104">
        <f t="shared" si="144"/>
        <v>0</v>
      </c>
      <c r="Y345" s="104">
        <f t="shared" si="144"/>
        <v>0</v>
      </c>
      <c r="Z345" s="104">
        <f t="shared" si="144"/>
        <v>0</v>
      </c>
      <c r="AA345" s="306"/>
      <c r="AB345" s="380"/>
    </row>
    <row r="346" spans="1:28" s="278" customFormat="1" ht="19.5">
      <c r="A346" s="307" t="s">
        <v>19</v>
      </c>
      <c r="B346" s="308" t="s">
        <v>20</v>
      </c>
      <c r="C346" s="309"/>
      <c r="D346" s="309"/>
      <c r="E346" s="309"/>
      <c r="F346" s="309"/>
      <c r="G346" s="105">
        <f>SUM(G347:G348)</f>
        <v>99185</v>
      </c>
      <c r="H346" s="105">
        <f t="shared" ref="H346:Z346" si="145">SUM(H347:H348)</f>
        <v>99185</v>
      </c>
      <c r="I346" s="105">
        <f t="shared" si="145"/>
        <v>99185</v>
      </c>
      <c r="J346" s="105">
        <f t="shared" si="145"/>
        <v>99185</v>
      </c>
      <c r="K346" s="105">
        <f t="shared" si="145"/>
        <v>9602</v>
      </c>
      <c r="L346" s="105">
        <f t="shared" si="145"/>
        <v>0</v>
      </c>
      <c r="M346" s="105">
        <f t="shared" si="145"/>
        <v>8958</v>
      </c>
      <c r="N346" s="105">
        <f t="shared" si="145"/>
        <v>8958</v>
      </c>
      <c r="O346" s="105">
        <f t="shared" si="145"/>
        <v>32</v>
      </c>
      <c r="P346" s="105">
        <f t="shared" si="145"/>
        <v>32</v>
      </c>
      <c r="Q346" s="105">
        <f t="shared" si="145"/>
        <v>15956</v>
      </c>
      <c r="R346" s="105">
        <f t="shared" si="145"/>
        <v>15956</v>
      </c>
      <c r="S346" s="105">
        <f t="shared" si="145"/>
        <v>17730</v>
      </c>
      <c r="T346" s="105">
        <f t="shared" si="145"/>
        <v>17730</v>
      </c>
      <c r="U346" s="105">
        <f t="shared" si="145"/>
        <v>89583</v>
      </c>
      <c r="V346" s="105">
        <f t="shared" si="145"/>
        <v>89583</v>
      </c>
      <c r="W346" s="105">
        <f t="shared" si="145"/>
        <v>0</v>
      </c>
      <c r="X346" s="105">
        <f t="shared" si="145"/>
        <v>0</v>
      </c>
      <c r="Y346" s="105">
        <f t="shared" si="145"/>
        <v>0</v>
      </c>
      <c r="Z346" s="105">
        <f t="shared" si="145"/>
        <v>0</v>
      </c>
      <c r="AA346" s="310"/>
      <c r="AB346" s="380"/>
    </row>
    <row r="347" spans="1:28" s="278" customFormat="1" ht="168.75">
      <c r="A347" s="311" t="s">
        <v>13</v>
      </c>
      <c r="B347" s="312" t="s">
        <v>530</v>
      </c>
      <c r="C347" s="313" t="s">
        <v>250</v>
      </c>
      <c r="D347" s="313" t="s">
        <v>531</v>
      </c>
      <c r="E347" s="313" t="s">
        <v>252</v>
      </c>
      <c r="F347" s="314" t="s">
        <v>532</v>
      </c>
      <c r="G347" s="106">
        <v>89583</v>
      </c>
      <c r="H347" s="106">
        <v>89583</v>
      </c>
      <c r="I347" s="106">
        <v>89583</v>
      </c>
      <c r="J347" s="106">
        <v>89583</v>
      </c>
      <c r="K347" s="106"/>
      <c r="L347" s="106"/>
      <c r="M347" s="106">
        <v>8958</v>
      </c>
      <c r="N347" s="106">
        <v>8958</v>
      </c>
      <c r="O347" s="106"/>
      <c r="P347" s="106"/>
      <c r="Q347" s="106">
        <v>7435</v>
      </c>
      <c r="R347" s="106">
        <v>7435</v>
      </c>
      <c r="S347" s="106">
        <v>8958</v>
      </c>
      <c r="T347" s="106">
        <v>8958</v>
      </c>
      <c r="U347" s="106">
        <v>89583</v>
      </c>
      <c r="V347" s="106">
        <v>89583</v>
      </c>
      <c r="W347" s="106"/>
      <c r="X347" s="106"/>
      <c r="Y347" s="106"/>
      <c r="Z347" s="106"/>
      <c r="AA347" s="313" t="s">
        <v>533</v>
      </c>
      <c r="AB347" s="314" t="s">
        <v>593</v>
      </c>
    </row>
    <row r="348" spans="1:28" s="278" customFormat="1" ht="150">
      <c r="A348" s="311" t="s">
        <v>0</v>
      </c>
      <c r="B348" s="325" t="s">
        <v>534</v>
      </c>
      <c r="C348" s="313" t="s">
        <v>250</v>
      </c>
      <c r="D348" s="313" t="s">
        <v>535</v>
      </c>
      <c r="E348" s="313" t="s">
        <v>312</v>
      </c>
      <c r="F348" s="314" t="s">
        <v>536</v>
      </c>
      <c r="G348" s="106">
        <v>9602</v>
      </c>
      <c r="H348" s="106">
        <v>9602</v>
      </c>
      <c r="I348" s="106">
        <v>9602</v>
      </c>
      <c r="J348" s="106">
        <v>9602</v>
      </c>
      <c r="K348" s="106">
        <v>9602</v>
      </c>
      <c r="L348" s="106"/>
      <c r="M348" s="106">
        <v>0</v>
      </c>
      <c r="N348" s="106">
        <v>0</v>
      </c>
      <c r="O348" s="106">
        <v>32</v>
      </c>
      <c r="P348" s="106">
        <v>32</v>
      </c>
      <c r="Q348" s="106">
        <v>8521</v>
      </c>
      <c r="R348" s="106">
        <v>8521</v>
      </c>
      <c r="S348" s="106">
        <v>8772</v>
      </c>
      <c r="T348" s="106">
        <v>8772</v>
      </c>
      <c r="U348" s="106">
        <v>0</v>
      </c>
      <c r="V348" s="106">
        <v>0</v>
      </c>
      <c r="W348" s="106"/>
      <c r="X348" s="106"/>
      <c r="Y348" s="106"/>
      <c r="Z348" s="106"/>
      <c r="AA348" s="313" t="s">
        <v>537</v>
      </c>
      <c r="AB348" s="314" t="s">
        <v>593</v>
      </c>
    </row>
    <row r="349" spans="1:28" s="279" customFormat="1" ht="90.75" customHeight="1">
      <c r="A349" s="303" t="s">
        <v>548</v>
      </c>
      <c r="B349" s="413" t="s">
        <v>376</v>
      </c>
      <c r="C349" s="305"/>
      <c r="D349" s="305"/>
      <c r="E349" s="305"/>
      <c r="F349" s="305"/>
      <c r="G349" s="113">
        <f>G350+G354</f>
        <v>335950</v>
      </c>
      <c r="H349" s="113">
        <f t="shared" ref="H349:Z349" si="146">H350+H354</f>
        <v>271538</v>
      </c>
      <c r="I349" s="113">
        <f t="shared" si="146"/>
        <v>427708</v>
      </c>
      <c r="J349" s="113">
        <f t="shared" si="146"/>
        <v>313590</v>
      </c>
      <c r="K349" s="113">
        <f t="shared" si="146"/>
        <v>0</v>
      </c>
      <c r="L349" s="113">
        <f t="shared" si="146"/>
        <v>0</v>
      </c>
      <c r="M349" s="113">
        <f t="shared" si="146"/>
        <v>47649</v>
      </c>
      <c r="N349" s="113">
        <f t="shared" si="146"/>
        <v>47649</v>
      </c>
      <c r="O349" s="113">
        <f t="shared" si="146"/>
        <v>24910</v>
      </c>
      <c r="P349" s="113">
        <f t="shared" si="146"/>
        <v>24910</v>
      </c>
      <c r="Q349" s="113">
        <f t="shared" si="146"/>
        <v>47557</v>
      </c>
      <c r="R349" s="113">
        <f t="shared" si="146"/>
        <v>47557</v>
      </c>
      <c r="S349" s="113">
        <f t="shared" si="146"/>
        <v>73967</v>
      </c>
      <c r="T349" s="113">
        <f t="shared" si="146"/>
        <v>73967</v>
      </c>
      <c r="U349" s="113">
        <f t="shared" si="146"/>
        <v>160466</v>
      </c>
      <c r="V349" s="113">
        <f t="shared" si="146"/>
        <v>160466</v>
      </c>
      <c r="W349" s="113">
        <f t="shared" si="146"/>
        <v>80097</v>
      </c>
      <c r="X349" s="113">
        <f t="shared" si="146"/>
        <v>80097</v>
      </c>
      <c r="Y349" s="113">
        <f t="shared" si="146"/>
        <v>3000</v>
      </c>
      <c r="Z349" s="306">
        <f t="shared" si="146"/>
        <v>0</v>
      </c>
      <c r="AA349" s="306"/>
      <c r="AB349" s="306"/>
    </row>
    <row r="350" spans="1:28" s="279" customFormat="1">
      <c r="A350" s="302" t="s">
        <v>38</v>
      </c>
      <c r="B350" s="301" t="s">
        <v>83</v>
      </c>
      <c r="C350" s="305"/>
      <c r="D350" s="305"/>
      <c r="E350" s="305"/>
      <c r="F350" s="305"/>
      <c r="G350" s="306">
        <f>SUM(G351:G353)</f>
        <v>0</v>
      </c>
      <c r="H350" s="306">
        <f t="shared" ref="H350:Z350" si="147">SUM(H351:H353)</f>
        <v>0</v>
      </c>
      <c r="I350" s="306">
        <f t="shared" si="147"/>
        <v>0</v>
      </c>
      <c r="J350" s="306">
        <f t="shared" si="147"/>
        <v>0</v>
      </c>
      <c r="K350" s="306">
        <f t="shared" si="147"/>
        <v>0</v>
      </c>
      <c r="L350" s="306">
        <f t="shared" si="147"/>
        <v>0</v>
      </c>
      <c r="M350" s="306">
        <f t="shared" si="147"/>
        <v>0</v>
      </c>
      <c r="N350" s="306">
        <f t="shared" si="147"/>
        <v>0</v>
      </c>
      <c r="O350" s="306">
        <f t="shared" si="147"/>
        <v>0</v>
      </c>
      <c r="P350" s="306">
        <f t="shared" si="147"/>
        <v>0</v>
      </c>
      <c r="Q350" s="306">
        <f t="shared" si="147"/>
        <v>0</v>
      </c>
      <c r="R350" s="306">
        <f t="shared" si="147"/>
        <v>0</v>
      </c>
      <c r="S350" s="306">
        <f t="shared" si="147"/>
        <v>0</v>
      </c>
      <c r="T350" s="306">
        <f t="shared" si="147"/>
        <v>0</v>
      </c>
      <c r="U350" s="306">
        <f t="shared" si="147"/>
        <v>0</v>
      </c>
      <c r="V350" s="306">
        <f t="shared" si="147"/>
        <v>0</v>
      </c>
      <c r="W350" s="306">
        <f t="shared" si="147"/>
        <v>35227</v>
      </c>
      <c r="X350" s="306">
        <f t="shared" si="147"/>
        <v>35227</v>
      </c>
      <c r="Y350" s="306">
        <f t="shared" si="147"/>
        <v>0</v>
      </c>
      <c r="Z350" s="306">
        <f t="shared" si="147"/>
        <v>0</v>
      </c>
      <c r="AA350" s="306"/>
      <c r="AB350" s="404"/>
    </row>
    <row r="351" spans="1:28" s="278" customFormat="1" ht="131.25">
      <c r="A351" s="311" t="s">
        <v>13</v>
      </c>
      <c r="B351" s="312" t="s">
        <v>381</v>
      </c>
      <c r="C351" s="297" t="s">
        <v>377</v>
      </c>
      <c r="D351" s="297" t="s">
        <v>378</v>
      </c>
      <c r="E351" s="297" t="s">
        <v>379</v>
      </c>
      <c r="F351" s="297"/>
      <c r="G351" s="297"/>
      <c r="H351" s="297"/>
      <c r="I351" s="297"/>
      <c r="J351" s="297"/>
      <c r="K351" s="297"/>
      <c r="L351" s="297"/>
      <c r="M351" s="297"/>
      <c r="N351" s="297"/>
      <c r="O351" s="297"/>
      <c r="P351" s="297"/>
      <c r="Q351" s="297"/>
      <c r="R351" s="297"/>
      <c r="S351" s="297"/>
      <c r="T351" s="297"/>
      <c r="U351" s="297"/>
      <c r="V351" s="297"/>
      <c r="W351" s="398">
        <v>28027</v>
      </c>
      <c r="X351" s="398">
        <v>28027</v>
      </c>
      <c r="Y351" s="398"/>
      <c r="Z351" s="398"/>
      <c r="AA351" s="414" t="s">
        <v>380</v>
      </c>
      <c r="AB351" s="314" t="s">
        <v>599</v>
      </c>
    </row>
    <row r="352" spans="1:28" ht="150">
      <c r="A352" s="317">
        <v>2</v>
      </c>
      <c r="B352" s="312" t="s">
        <v>557</v>
      </c>
      <c r="C352" s="297" t="s">
        <v>558</v>
      </c>
      <c r="D352" s="297"/>
      <c r="E352" s="297" t="s">
        <v>355</v>
      </c>
      <c r="F352" s="297"/>
      <c r="G352" s="106"/>
      <c r="H352" s="106"/>
      <c r="I352" s="106"/>
      <c r="J352" s="106"/>
      <c r="K352" s="106"/>
      <c r="L352" s="106"/>
      <c r="M352" s="106"/>
      <c r="N352" s="106"/>
      <c r="O352" s="106"/>
      <c r="P352" s="106"/>
      <c r="Q352" s="106"/>
      <c r="R352" s="106"/>
      <c r="S352" s="106"/>
      <c r="T352" s="106"/>
      <c r="U352" s="106"/>
      <c r="V352" s="106"/>
      <c r="W352" s="106">
        <v>6000</v>
      </c>
      <c r="X352" s="106">
        <v>6000</v>
      </c>
      <c r="Y352" s="106"/>
      <c r="Z352" s="106"/>
      <c r="AA352" s="313" t="s">
        <v>412</v>
      </c>
      <c r="AB352" s="314" t="s">
        <v>593</v>
      </c>
    </row>
    <row r="353" spans="1:28" ht="112.5">
      <c r="A353" s="311" t="s">
        <v>5</v>
      </c>
      <c r="B353" s="362" t="s">
        <v>559</v>
      </c>
      <c r="C353" s="313" t="s">
        <v>250</v>
      </c>
      <c r="D353" s="313" t="s">
        <v>560</v>
      </c>
      <c r="E353" s="313"/>
      <c r="F353" s="313"/>
      <c r="G353" s="106"/>
      <c r="H353" s="106"/>
      <c r="I353" s="106"/>
      <c r="J353" s="106"/>
      <c r="K353" s="106"/>
      <c r="L353" s="106"/>
      <c r="M353" s="106"/>
      <c r="N353" s="106"/>
      <c r="O353" s="106"/>
      <c r="P353" s="106"/>
      <c r="Q353" s="106"/>
      <c r="R353" s="106"/>
      <c r="S353" s="106"/>
      <c r="T353" s="106"/>
      <c r="U353" s="106"/>
      <c r="V353" s="106"/>
      <c r="W353" s="106">
        <f>+X353</f>
        <v>1200</v>
      </c>
      <c r="X353" s="106">
        <v>1200</v>
      </c>
      <c r="Y353" s="106"/>
      <c r="Z353" s="106"/>
      <c r="AA353" s="313" t="s">
        <v>561</v>
      </c>
      <c r="AB353" s="314" t="s">
        <v>593</v>
      </c>
    </row>
    <row r="354" spans="1:28">
      <c r="A354" s="302" t="s">
        <v>43</v>
      </c>
      <c r="B354" s="301" t="s">
        <v>58</v>
      </c>
      <c r="C354" s="297"/>
      <c r="D354" s="297"/>
      <c r="E354" s="297"/>
      <c r="F354" s="297"/>
      <c r="G354" s="104">
        <f>+G355+G367+G371+G375</f>
        <v>335950</v>
      </c>
      <c r="H354" s="104">
        <f t="shared" ref="H354:Z354" si="148">+H355+H367+H371+H375</f>
        <v>271538</v>
      </c>
      <c r="I354" s="104">
        <f t="shared" si="148"/>
        <v>427708</v>
      </c>
      <c r="J354" s="104">
        <f t="shared" si="148"/>
        <v>313590</v>
      </c>
      <c r="K354" s="104">
        <f t="shared" si="148"/>
        <v>0</v>
      </c>
      <c r="L354" s="104">
        <f t="shared" si="148"/>
        <v>0</v>
      </c>
      <c r="M354" s="104">
        <f t="shared" si="148"/>
        <v>47649</v>
      </c>
      <c r="N354" s="104">
        <f t="shared" si="148"/>
        <v>47649</v>
      </c>
      <c r="O354" s="104">
        <f t="shared" si="148"/>
        <v>24910</v>
      </c>
      <c r="P354" s="104">
        <f t="shared" si="148"/>
        <v>24910</v>
      </c>
      <c r="Q354" s="104">
        <f t="shared" si="148"/>
        <v>47557</v>
      </c>
      <c r="R354" s="104">
        <f t="shared" si="148"/>
        <v>47557</v>
      </c>
      <c r="S354" s="104">
        <f t="shared" si="148"/>
        <v>73967</v>
      </c>
      <c r="T354" s="104">
        <f t="shared" si="148"/>
        <v>73967</v>
      </c>
      <c r="U354" s="104">
        <f t="shared" si="148"/>
        <v>160466</v>
      </c>
      <c r="V354" s="104">
        <f t="shared" si="148"/>
        <v>160466</v>
      </c>
      <c r="W354" s="104">
        <f t="shared" si="148"/>
        <v>44870</v>
      </c>
      <c r="X354" s="104">
        <f t="shared" si="148"/>
        <v>44870</v>
      </c>
      <c r="Y354" s="104">
        <f t="shared" si="148"/>
        <v>3000</v>
      </c>
      <c r="Z354" s="104">
        <f t="shared" si="148"/>
        <v>0</v>
      </c>
      <c r="AA354" s="297"/>
      <c r="AB354" s="343"/>
    </row>
    <row r="355" spans="1:28" s="278" customFormat="1" ht="56.25">
      <c r="A355" s="303" t="s">
        <v>39</v>
      </c>
      <c r="B355" s="304" t="s">
        <v>108</v>
      </c>
      <c r="C355" s="305"/>
      <c r="D355" s="305"/>
      <c r="E355" s="305"/>
      <c r="F355" s="305"/>
      <c r="G355" s="104">
        <f>+G356+G358</f>
        <v>263414</v>
      </c>
      <c r="H355" s="104">
        <f t="shared" ref="H355:Z355" si="149">+H356+H358</f>
        <v>223484</v>
      </c>
      <c r="I355" s="104">
        <f t="shared" si="149"/>
        <v>218197</v>
      </c>
      <c r="J355" s="104">
        <f t="shared" si="149"/>
        <v>218197</v>
      </c>
      <c r="K355" s="104">
        <f t="shared" si="149"/>
        <v>0</v>
      </c>
      <c r="L355" s="104">
        <f t="shared" si="149"/>
        <v>0</v>
      </c>
      <c r="M355" s="104">
        <f t="shared" si="149"/>
        <v>39649</v>
      </c>
      <c r="N355" s="104">
        <f t="shared" si="149"/>
        <v>39649</v>
      </c>
      <c r="O355" s="104">
        <f t="shared" si="149"/>
        <v>24557</v>
      </c>
      <c r="P355" s="104">
        <f t="shared" si="149"/>
        <v>24557</v>
      </c>
      <c r="Q355" s="104">
        <f t="shared" si="149"/>
        <v>45557</v>
      </c>
      <c r="R355" s="104">
        <f t="shared" si="149"/>
        <v>45557</v>
      </c>
      <c r="S355" s="104">
        <f t="shared" si="149"/>
        <v>68967</v>
      </c>
      <c r="T355" s="104">
        <f t="shared" si="149"/>
        <v>68967</v>
      </c>
      <c r="U355" s="104">
        <f t="shared" si="149"/>
        <v>155466</v>
      </c>
      <c r="V355" s="104">
        <f t="shared" si="149"/>
        <v>155466</v>
      </c>
      <c r="W355" s="104">
        <f t="shared" si="149"/>
        <v>1122</v>
      </c>
      <c r="X355" s="104">
        <f t="shared" si="149"/>
        <v>1122</v>
      </c>
      <c r="Y355" s="104">
        <f t="shared" si="149"/>
        <v>0</v>
      </c>
      <c r="Z355" s="104">
        <f t="shared" si="149"/>
        <v>0</v>
      </c>
      <c r="AA355" s="306"/>
      <c r="AB355" s="380"/>
    </row>
    <row r="356" spans="1:28" ht="19.5">
      <c r="A356" s="307" t="s">
        <v>46</v>
      </c>
      <c r="B356" s="308" t="s">
        <v>18</v>
      </c>
      <c r="C356" s="309"/>
      <c r="D356" s="309"/>
      <c r="E356" s="309"/>
      <c r="F356" s="309"/>
      <c r="G356" s="105">
        <f>+G357</f>
        <v>73151</v>
      </c>
      <c r="H356" s="105">
        <f t="shared" ref="H356:Z356" si="150">+H357</f>
        <v>73151</v>
      </c>
      <c r="I356" s="105">
        <f t="shared" si="150"/>
        <v>71397</v>
      </c>
      <c r="J356" s="105">
        <f t="shared" si="150"/>
        <v>71397</v>
      </c>
      <c r="K356" s="105">
        <f t="shared" si="150"/>
        <v>0</v>
      </c>
      <c r="L356" s="105">
        <f t="shared" si="150"/>
        <v>0</v>
      </c>
      <c r="M356" s="105">
        <f t="shared" si="150"/>
        <v>10000</v>
      </c>
      <c r="N356" s="105">
        <f t="shared" si="150"/>
        <v>10000</v>
      </c>
      <c r="O356" s="105">
        <f t="shared" si="150"/>
        <v>9568</v>
      </c>
      <c r="P356" s="105">
        <f t="shared" si="150"/>
        <v>9568</v>
      </c>
      <c r="Q356" s="105">
        <f t="shared" si="150"/>
        <v>22747</v>
      </c>
      <c r="R356" s="105">
        <f t="shared" si="150"/>
        <v>22747</v>
      </c>
      <c r="S356" s="105">
        <f t="shared" si="150"/>
        <v>26063</v>
      </c>
      <c r="T356" s="105">
        <f t="shared" si="150"/>
        <v>26063</v>
      </c>
      <c r="U356" s="105">
        <f t="shared" si="150"/>
        <v>57088</v>
      </c>
      <c r="V356" s="105">
        <f t="shared" si="150"/>
        <v>57088</v>
      </c>
      <c r="W356" s="105">
        <f t="shared" si="150"/>
        <v>0</v>
      </c>
      <c r="X356" s="105">
        <f t="shared" si="150"/>
        <v>0</v>
      </c>
      <c r="Y356" s="105">
        <f t="shared" si="150"/>
        <v>0</v>
      </c>
      <c r="Z356" s="105">
        <f t="shared" si="150"/>
        <v>0</v>
      </c>
      <c r="AA356" s="310"/>
      <c r="AB356" s="343"/>
    </row>
    <row r="357" spans="1:28" s="278" customFormat="1" ht="91.5" customHeight="1">
      <c r="A357" s="311"/>
      <c r="B357" s="312" t="s">
        <v>562</v>
      </c>
      <c r="C357" s="313" t="s">
        <v>250</v>
      </c>
      <c r="D357" s="313" t="s">
        <v>563</v>
      </c>
      <c r="E357" s="313" t="s">
        <v>316</v>
      </c>
      <c r="F357" s="314" t="s">
        <v>564</v>
      </c>
      <c r="G357" s="106">
        <v>73151</v>
      </c>
      <c r="H357" s="106">
        <v>73151</v>
      </c>
      <c r="I357" s="106">
        <v>71397</v>
      </c>
      <c r="J357" s="106">
        <v>71397</v>
      </c>
      <c r="K357" s="106"/>
      <c r="L357" s="106"/>
      <c r="M357" s="106">
        <v>10000</v>
      </c>
      <c r="N357" s="106">
        <v>10000</v>
      </c>
      <c r="O357" s="106">
        <v>9568</v>
      </c>
      <c r="P357" s="106">
        <v>9568</v>
      </c>
      <c r="Q357" s="106">
        <v>22747</v>
      </c>
      <c r="R357" s="106">
        <v>22747</v>
      </c>
      <c r="S357" s="106">
        <v>26063</v>
      </c>
      <c r="T357" s="106">
        <v>26063</v>
      </c>
      <c r="U357" s="106">
        <v>57088</v>
      </c>
      <c r="V357" s="106">
        <v>57088</v>
      </c>
      <c r="W357" s="106"/>
      <c r="X357" s="106"/>
      <c r="Y357" s="106"/>
      <c r="Z357" s="106"/>
      <c r="AA357" s="334" t="s">
        <v>565</v>
      </c>
      <c r="AB357" s="314" t="s">
        <v>593</v>
      </c>
    </row>
    <row r="358" spans="1:28" ht="19.5">
      <c r="A358" s="307" t="s">
        <v>19</v>
      </c>
      <c r="B358" s="308" t="s">
        <v>20</v>
      </c>
      <c r="C358" s="309"/>
      <c r="D358" s="309"/>
      <c r="E358" s="309"/>
      <c r="F358" s="309"/>
      <c r="G358" s="105">
        <f>SUM(G359:G366)</f>
        <v>190263</v>
      </c>
      <c r="H358" s="105">
        <f t="shared" ref="H358:Z358" si="151">SUM(H359:H366)</f>
        <v>150333</v>
      </c>
      <c r="I358" s="105">
        <f t="shared" si="151"/>
        <v>146800</v>
      </c>
      <c r="J358" s="105">
        <f t="shared" si="151"/>
        <v>146800</v>
      </c>
      <c r="K358" s="105">
        <f t="shared" si="151"/>
        <v>0</v>
      </c>
      <c r="L358" s="105">
        <f t="shared" si="151"/>
        <v>0</v>
      </c>
      <c r="M358" s="105">
        <f t="shared" si="151"/>
        <v>29649</v>
      </c>
      <c r="N358" s="105">
        <f t="shared" si="151"/>
        <v>29649</v>
      </c>
      <c r="O358" s="105">
        <f t="shared" si="151"/>
        <v>14989</v>
      </c>
      <c r="P358" s="105">
        <f t="shared" si="151"/>
        <v>14989</v>
      </c>
      <c r="Q358" s="105">
        <f t="shared" si="151"/>
        <v>22810</v>
      </c>
      <c r="R358" s="105">
        <f t="shared" si="151"/>
        <v>22810</v>
      </c>
      <c r="S358" s="105">
        <f t="shared" si="151"/>
        <v>42904</v>
      </c>
      <c r="T358" s="105">
        <f t="shared" si="151"/>
        <v>42904</v>
      </c>
      <c r="U358" s="105">
        <f t="shared" si="151"/>
        <v>98378</v>
      </c>
      <c r="V358" s="105">
        <f t="shared" si="151"/>
        <v>98378</v>
      </c>
      <c r="W358" s="105">
        <f t="shared" si="151"/>
        <v>1122</v>
      </c>
      <c r="X358" s="105">
        <f t="shared" si="151"/>
        <v>1122</v>
      </c>
      <c r="Y358" s="105">
        <f t="shared" si="151"/>
        <v>0</v>
      </c>
      <c r="Z358" s="105">
        <f t="shared" si="151"/>
        <v>0</v>
      </c>
      <c r="AA358" s="415"/>
      <c r="AB358" s="343"/>
    </row>
    <row r="359" spans="1:28" ht="112.5">
      <c r="A359" s="311" t="s">
        <v>13</v>
      </c>
      <c r="B359" s="312" t="s">
        <v>566</v>
      </c>
      <c r="C359" s="313" t="s">
        <v>250</v>
      </c>
      <c r="D359" s="313" t="s">
        <v>567</v>
      </c>
      <c r="E359" s="313" t="s">
        <v>252</v>
      </c>
      <c r="F359" s="314" t="s">
        <v>568</v>
      </c>
      <c r="G359" s="106">
        <v>42247</v>
      </c>
      <c r="H359" s="106">
        <v>42247</v>
      </c>
      <c r="I359" s="106">
        <v>42247</v>
      </c>
      <c r="J359" s="106">
        <v>42247</v>
      </c>
      <c r="K359" s="106">
        <v>0</v>
      </c>
      <c r="L359" s="106">
        <v>0</v>
      </c>
      <c r="M359" s="106">
        <v>18713</v>
      </c>
      <c r="N359" s="106">
        <v>18713</v>
      </c>
      <c r="O359" s="106">
        <v>8949</v>
      </c>
      <c r="P359" s="106">
        <v>8949</v>
      </c>
      <c r="Q359" s="106">
        <v>12900</v>
      </c>
      <c r="R359" s="106">
        <v>12900</v>
      </c>
      <c r="S359" s="106">
        <v>18713</v>
      </c>
      <c r="T359" s="106">
        <v>18713</v>
      </c>
      <c r="U359" s="106">
        <v>39754</v>
      </c>
      <c r="V359" s="106">
        <v>39754</v>
      </c>
      <c r="W359" s="106">
        <v>0</v>
      </c>
      <c r="X359" s="106">
        <v>0</v>
      </c>
      <c r="Y359" s="106">
        <v>0</v>
      </c>
      <c r="Z359" s="106">
        <v>0</v>
      </c>
      <c r="AA359" s="313" t="s">
        <v>435</v>
      </c>
      <c r="AB359" s="314" t="s">
        <v>593</v>
      </c>
    </row>
    <row r="360" spans="1:28" s="278" customFormat="1" ht="56.25">
      <c r="A360" s="311" t="s">
        <v>0</v>
      </c>
      <c r="B360" s="312" t="s">
        <v>569</v>
      </c>
      <c r="C360" s="313" t="s">
        <v>250</v>
      </c>
      <c r="D360" s="313" t="s">
        <v>570</v>
      </c>
      <c r="E360" s="313" t="s">
        <v>230</v>
      </c>
      <c r="F360" s="314" t="s">
        <v>571</v>
      </c>
      <c r="G360" s="106">
        <v>5550</v>
      </c>
      <c r="H360" s="106">
        <v>5550</v>
      </c>
      <c r="I360" s="106">
        <f>+J360</f>
        <v>5550</v>
      </c>
      <c r="J360" s="106">
        <v>5550</v>
      </c>
      <c r="K360" s="106"/>
      <c r="L360" s="106"/>
      <c r="M360" s="106">
        <f>+N360</f>
        <v>2936</v>
      </c>
      <c r="N360" s="106">
        <v>2936</v>
      </c>
      <c r="O360" s="106">
        <f>+P360</f>
        <v>2226</v>
      </c>
      <c r="P360" s="106">
        <v>2226</v>
      </c>
      <c r="Q360" s="106">
        <f>+R360</f>
        <v>2540</v>
      </c>
      <c r="R360" s="106">
        <v>2540</v>
      </c>
      <c r="S360" s="106">
        <f>+T360</f>
        <v>2540</v>
      </c>
      <c r="T360" s="106">
        <v>2540</v>
      </c>
      <c r="U360" s="106">
        <f>+V360</f>
        <v>5550</v>
      </c>
      <c r="V360" s="106">
        <v>5550</v>
      </c>
      <c r="W360" s="106"/>
      <c r="X360" s="106"/>
      <c r="Y360" s="106"/>
      <c r="Z360" s="106"/>
      <c r="AA360" s="313" t="s">
        <v>572</v>
      </c>
      <c r="AB360" s="314" t="s">
        <v>593</v>
      </c>
    </row>
    <row r="361" spans="1:28" ht="112.5">
      <c r="A361" s="311" t="s">
        <v>5</v>
      </c>
      <c r="B361" s="325" t="s">
        <v>573</v>
      </c>
      <c r="C361" s="313" t="s">
        <v>250</v>
      </c>
      <c r="D361" s="313" t="s">
        <v>574</v>
      </c>
      <c r="E361" s="313" t="s">
        <v>252</v>
      </c>
      <c r="F361" s="314" t="s">
        <v>575</v>
      </c>
      <c r="G361" s="106">
        <v>40858</v>
      </c>
      <c r="H361" s="106">
        <v>40858</v>
      </c>
      <c r="I361" s="106">
        <v>40858</v>
      </c>
      <c r="J361" s="106">
        <v>40858</v>
      </c>
      <c r="K361" s="106">
        <v>0</v>
      </c>
      <c r="L361" s="106">
        <v>0</v>
      </c>
      <c r="M361" s="106">
        <v>0</v>
      </c>
      <c r="N361" s="106">
        <v>0</v>
      </c>
      <c r="O361" s="106">
        <v>0</v>
      </c>
      <c r="P361" s="106">
        <v>0</v>
      </c>
      <c r="Q361" s="106">
        <v>400</v>
      </c>
      <c r="R361" s="106">
        <v>400</v>
      </c>
      <c r="S361" s="106">
        <v>2671</v>
      </c>
      <c r="T361" s="106">
        <v>2671</v>
      </c>
      <c r="U361" s="106">
        <v>0</v>
      </c>
      <c r="V361" s="106">
        <v>0</v>
      </c>
      <c r="W361" s="106">
        <v>0</v>
      </c>
      <c r="X361" s="106">
        <v>0</v>
      </c>
      <c r="Y361" s="106">
        <v>0</v>
      </c>
      <c r="Z361" s="106">
        <v>0</v>
      </c>
      <c r="AA361" s="315"/>
      <c r="AB361" s="314" t="s">
        <v>593</v>
      </c>
    </row>
    <row r="362" spans="1:28" ht="93.75">
      <c r="A362" s="311" t="s">
        <v>6</v>
      </c>
      <c r="B362" s="325" t="s">
        <v>820</v>
      </c>
      <c r="C362" s="313" t="s">
        <v>210</v>
      </c>
      <c r="D362" s="313" t="s">
        <v>821</v>
      </c>
      <c r="E362" s="313" t="s">
        <v>252</v>
      </c>
      <c r="F362" s="314" t="s">
        <v>822</v>
      </c>
      <c r="G362" s="106">
        <v>16029</v>
      </c>
      <c r="H362" s="106">
        <v>11155</v>
      </c>
      <c r="I362" s="106">
        <v>10752</v>
      </c>
      <c r="J362" s="106">
        <v>10752</v>
      </c>
      <c r="K362" s="106">
        <v>0</v>
      </c>
      <c r="L362" s="106">
        <v>0</v>
      </c>
      <c r="M362" s="106"/>
      <c r="N362" s="106"/>
      <c r="O362" s="106"/>
      <c r="P362" s="106"/>
      <c r="Q362" s="106"/>
      <c r="R362" s="106"/>
      <c r="S362" s="106"/>
      <c r="T362" s="106"/>
      <c r="U362" s="106">
        <v>9994</v>
      </c>
      <c r="V362" s="106">
        <v>9994</v>
      </c>
      <c r="W362" s="106">
        <v>0</v>
      </c>
      <c r="X362" s="106">
        <v>0</v>
      </c>
      <c r="Y362" s="106">
        <v>0</v>
      </c>
      <c r="Z362" s="106">
        <v>0</v>
      </c>
      <c r="AA362" s="313" t="s">
        <v>823</v>
      </c>
      <c r="AB362" s="314" t="s">
        <v>761</v>
      </c>
    </row>
    <row r="363" spans="1:28" ht="37.5">
      <c r="A363" s="311" t="s">
        <v>14</v>
      </c>
      <c r="B363" s="325" t="s">
        <v>994</v>
      </c>
      <c r="C363" s="313" t="s">
        <v>995</v>
      </c>
      <c r="D363" s="313" t="s">
        <v>996</v>
      </c>
      <c r="E363" s="313" t="s">
        <v>252</v>
      </c>
      <c r="F363" s="314" t="s">
        <v>997</v>
      </c>
      <c r="G363" s="106">
        <v>9402</v>
      </c>
      <c r="H363" s="106">
        <v>6739</v>
      </c>
      <c r="I363" s="106">
        <v>6739</v>
      </c>
      <c r="J363" s="106">
        <v>6739</v>
      </c>
      <c r="K363" s="106"/>
      <c r="L363" s="106"/>
      <c r="M363" s="106">
        <v>3000</v>
      </c>
      <c r="N363" s="106">
        <v>3000</v>
      </c>
      <c r="O363" s="106">
        <v>3000</v>
      </c>
      <c r="P363" s="106">
        <v>3000</v>
      </c>
      <c r="Q363" s="106">
        <v>3000</v>
      </c>
      <c r="R363" s="106">
        <v>3000</v>
      </c>
      <c r="S363" s="106">
        <v>3000</v>
      </c>
      <c r="T363" s="106">
        <v>3000</v>
      </c>
      <c r="U363" s="106">
        <v>6200</v>
      </c>
      <c r="V363" s="106">
        <v>6200</v>
      </c>
      <c r="W363" s="106">
        <v>0</v>
      </c>
      <c r="X363" s="106">
        <v>0</v>
      </c>
      <c r="Y363" s="106"/>
      <c r="Z363" s="106"/>
      <c r="AA363" s="313"/>
      <c r="AB363" s="314" t="s">
        <v>1002</v>
      </c>
    </row>
    <row r="364" spans="1:28" ht="37.5">
      <c r="A364" s="311" t="s">
        <v>48</v>
      </c>
      <c r="B364" s="325" t="s">
        <v>998</v>
      </c>
      <c r="C364" s="313" t="s">
        <v>999</v>
      </c>
      <c r="D364" s="313" t="s">
        <v>1000</v>
      </c>
      <c r="E364" s="313" t="s">
        <v>312</v>
      </c>
      <c r="F364" s="314" t="s">
        <v>1001</v>
      </c>
      <c r="G364" s="106">
        <v>11130</v>
      </c>
      <c r="H364" s="106">
        <v>8573</v>
      </c>
      <c r="I364" s="106">
        <v>8573</v>
      </c>
      <c r="J364" s="106">
        <v>8573</v>
      </c>
      <c r="K364" s="106"/>
      <c r="L364" s="106"/>
      <c r="M364" s="106">
        <v>3000</v>
      </c>
      <c r="N364" s="106">
        <v>3000</v>
      </c>
      <c r="O364" s="106">
        <v>814</v>
      </c>
      <c r="P364" s="106">
        <v>814</v>
      </c>
      <c r="Q364" s="106">
        <v>3000</v>
      </c>
      <c r="R364" s="106">
        <v>3000</v>
      </c>
      <c r="S364" s="106">
        <v>5561</v>
      </c>
      <c r="T364" s="106">
        <v>5561</v>
      </c>
      <c r="U364" s="106">
        <v>6000</v>
      </c>
      <c r="V364" s="106">
        <v>6000</v>
      </c>
      <c r="W364" s="106">
        <v>0</v>
      </c>
      <c r="X364" s="106">
        <v>0</v>
      </c>
      <c r="Y364" s="106"/>
      <c r="Z364" s="106"/>
      <c r="AA364" s="313"/>
      <c r="AB364" s="314" t="s">
        <v>1002</v>
      </c>
    </row>
    <row r="365" spans="1:28" ht="93.75">
      <c r="A365" s="311" t="s">
        <v>49</v>
      </c>
      <c r="B365" s="325" t="s">
        <v>1023</v>
      </c>
      <c r="C365" s="313" t="s">
        <v>1024</v>
      </c>
      <c r="D365" s="313" t="s">
        <v>1025</v>
      </c>
      <c r="E365" s="313" t="s">
        <v>312</v>
      </c>
      <c r="F365" s="314" t="s">
        <v>1026</v>
      </c>
      <c r="G365" s="106">
        <v>3999</v>
      </c>
      <c r="H365" s="106">
        <v>3122</v>
      </c>
      <c r="I365" s="106">
        <v>3122</v>
      </c>
      <c r="J365" s="106">
        <v>3122</v>
      </c>
      <c r="K365" s="106"/>
      <c r="L365" s="106"/>
      <c r="M365" s="106">
        <v>2000</v>
      </c>
      <c r="N365" s="106">
        <v>2000</v>
      </c>
      <c r="O365" s="106">
        <v>0</v>
      </c>
      <c r="P365" s="106"/>
      <c r="Q365" s="106">
        <v>970</v>
      </c>
      <c r="R365" s="106">
        <v>970</v>
      </c>
      <c r="S365" s="106">
        <v>2000</v>
      </c>
      <c r="T365" s="106">
        <v>2000</v>
      </c>
      <c r="U365" s="106">
        <v>2000</v>
      </c>
      <c r="V365" s="106">
        <v>2000</v>
      </c>
      <c r="W365" s="106">
        <v>1122</v>
      </c>
      <c r="X365" s="106">
        <v>1122</v>
      </c>
      <c r="Y365" s="106"/>
      <c r="Z365" s="106"/>
      <c r="AA365" s="313"/>
      <c r="AB365" s="314" t="s">
        <v>1002</v>
      </c>
    </row>
    <row r="366" spans="1:28" ht="112.5">
      <c r="A366" s="311" t="s">
        <v>50</v>
      </c>
      <c r="B366" s="325" t="s">
        <v>1288</v>
      </c>
      <c r="C366" s="313" t="s">
        <v>396</v>
      </c>
      <c r="D366" s="313" t="s">
        <v>1289</v>
      </c>
      <c r="E366" s="313" t="s">
        <v>230</v>
      </c>
      <c r="F366" s="314" t="s">
        <v>1290</v>
      </c>
      <c r="G366" s="106">
        <v>61048</v>
      </c>
      <c r="H366" s="106">
        <v>32089</v>
      </c>
      <c r="I366" s="106">
        <v>28959</v>
      </c>
      <c r="J366" s="106">
        <v>28959</v>
      </c>
      <c r="K366" s="106"/>
      <c r="L366" s="106"/>
      <c r="M366" s="106"/>
      <c r="N366" s="106"/>
      <c r="O366" s="106"/>
      <c r="P366" s="106"/>
      <c r="Q366" s="106"/>
      <c r="R366" s="106"/>
      <c r="S366" s="106">
        <v>8419</v>
      </c>
      <c r="T366" s="106">
        <v>8419</v>
      </c>
      <c r="U366" s="106">
        <v>28880</v>
      </c>
      <c r="V366" s="106">
        <v>28880</v>
      </c>
      <c r="W366" s="106">
        <v>0</v>
      </c>
      <c r="X366" s="106"/>
      <c r="Y366" s="106"/>
      <c r="Z366" s="106"/>
      <c r="AA366" s="313" t="s">
        <v>1291</v>
      </c>
      <c r="AB366" s="314" t="s">
        <v>1228</v>
      </c>
    </row>
    <row r="367" spans="1:28" ht="37.5">
      <c r="A367" s="303" t="s">
        <v>41</v>
      </c>
      <c r="B367" s="304" t="s">
        <v>109</v>
      </c>
      <c r="C367" s="313"/>
      <c r="D367" s="313"/>
      <c r="E367" s="313"/>
      <c r="F367" s="313"/>
      <c r="G367" s="104">
        <f>+G368</f>
        <v>28838</v>
      </c>
      <c r="H367" s="104">
        <f t="shared" ref="H367:Z367" si="152">+H368</f>
        <v>15449</v>
      </c>
      <c r="I367" s="104">
        <f t="shared" si="152"/>
        <v>13389</v>
      </c>
      <c r="J367" s="104">
        <f t="shared" si="152"/>
        <v>13389</v>
      </c>
      <c r="K367" s="104">
        <f t="shared" si="152"/>
        <v>0</v>
      </c>
      <c r="L367" s="104">
        <f t="shared" si="152"/>
        <v>0</v>
      </c>
      <c r="M367" s="104">
        <f t="shared" si="152"/>
        <v>0</v>
      </c>
      <c r="N367" s="104">
        <f t="shared" si="152"/>
        <v>0</v>
      </c>
      <c r="O367" s="104">
        <f t="shared" si="152"/>
        <v>0</v>
      </c>
      <c r="P367" s="104">
        <f t="shared" si="152"/>
        <v>0</v>
      </c>
      <c r="Q367" s="104">
        <f t="shared" si="152"/>
        <v>0</v>
      </c>
      <c r="R367" s="104">
        <f t="shared" si="152"/>
        <v>0</v>
      </c>
      <c r="S367" s="104">
        <f t="shared" si="152"/>
        <v>0</v>
      </c>
      <c r="T367" s="104">
        <f t="shared" si="152"/>
        <v>0</v>
      </c>
      <c r="U367" s="104">
        <f t="shared" si="152"/>
        <v>0</v>
      </c>
      <c r="V367" s="104">
        <f t="shared" si="152"/>
        <v>0</v>
      </c>
      <c r="W367" s="104">
        <f t="shared" si="152"/>
        <v>13832</v>
      </c>
      <c r="X367" s="104">
        <f t="shared" si="152"/>
        <v>13832</v>
      </c>
      <c r="Y367" s="104">
        <f t="shared" si="152"/>
        <v>0</v>
      </c>
      <c r="Z367" s="104">
        <f t="shared" si="152"/>
        <v>0</v>
      </c>
      <c r="AA367" s="315"/>
      <c r="AB367" s="343"/>
    </row>
    <row r="368" spans="1:28" ht="19.5">
      <c r="A368" s="307" t="s">
        <v>19</v>
      </c>
      <c r="B368" s="308" t="s">
        <v>20</v>
      </c>
      <c r="C368" s="309"/>
      <c r="D368" s="309"/>
      <c r="E368" s="309"/>
      <c r="F368" s="309"/>
      <c r="G368" s="105">
        <f>SUM(G369:G370)</f>
        <v>28838</v>
      </c>
      <c r="H368" s="105">
        <f t="shared" ref="H368:Z368" si="153">SUM(H369:H370)</f>
        <v>15449</v>
      </c>
      <c r="I368" s="105">
        <f t="shared" si="153"/>
        <v>13389</v>
      </c>
      <c r="J368" s="105">
        <f t="shared" si="153"/>
        <v>13389</v>
      </c>
      <c r="K368" s="105">
        <f t="shared" si="153"/>
        <v>0</v>
      </c>
      <c r="L368" s="105">
        <f t="shared" si="153"/>
        <v>0</v>
      </c>
      <c r="M368" s="105">
        <f t="shared" si="153"/>
        <v>0</v>
      </c>
      <c r="N368" s="105">
        <f t="shared" si="153"/>
        <v>0</v>
      </c>
      <c r="O368" s="105">
        <f t="shared" si="153"/>
        <v>0</v>
      </c>
      <c r="P368" s="105">
        <f t="shared" si="153"/>
        <v>0</v>
      </c>
      <c r="Q368" s="105">
        <f t="shared" si="153"/>
        <v>0</v>
      </c>
      <c r="R368" s="105">
        <f t="shared" si="153"/>
        <v>0</v>
      </c>
      <c r="S368" s="105">
        <f t="shared" si="153"/>
        <v>0</v>
      </c>
      <c r="T368" s="105">
        <f t="shared" si="153"/>
        <v>0</v>
      </c>
      <c r="U368" s="105">
        <f t="shared" si="153"/>
        <v>0</v>
      </c>
      <c r="V368" s="105">
        <f t="shared" si="153"/>
        <v>0</v>
      </c>
      <c r="W368" s="105">
        <f t="shared" si="153"/>
        <v>13832</v>
      </c>
      <c r="X368" s="105">
        <f t="shared" si="153"/>
        <v>13832</v>
      </c>
      <c r="Y368" s="105">
        <f t="shared" si="153"/>
        <v>0</v>
      </c>
      <c r="Z368" s="105">
        <f t="shared" si="153"/>
        <v>0</v>
      </c>
      <c r="AA368" s="310"/>
      <c r="AB368" s="343"/>
    </row>
    <row r="369" spans="1:28" ht="73.5" customHeight="1">
      <c r="A369" s="311" t="s">
        <v>13</v>
      </c>
      <c r="B369" s="325" t="s">
        <v>576</v>
      </c>
      <c r="C369" s="313"/>
      <c r="D369" s="313"/>
      <c r="E369" s="313"/>
      <c r="F369" s="313"/>
      <c r="G369" s="106"/>
      <c r="H369" s="106"/>
      <c r="I369" s="106"/>
      <c r="J369" s="106"/>
      <c r="K369" s="106"/>
      <c r="L369" s="106"/>
      <c r="M369" s="106"/>
      <c r="N369" s="106"/>
      <c r="O369" s="106"/>
      <c r="P369" s="106"/>
      <c r="Q369" s="106"/>
      <c r="R369" s="106"/>
      <c r="S369" s="106"/>
      <c r="T369" s="106"/>
      <c r="U369" s="106"/>
      <c r="V369" s="106"/>
      <c r="W369" s="106">
        <v>8832</v>
      </c>
      <c r="X369" s="106">
        <v>8832</v>
      </c>
      <c r="Y369" s="106"/>
      <c r="Z369" s="106"/>
      <c r="AA369" s="334" t="s">
        <v>412</v>
      </c>
      <c r="AB369" s="314" t="s">
        <v>593</v>
      </c>
    </row>
    <row r="370" spans="1:28" ht="73.5" customHeight="1">
      <c r="A370" s="311" t="s">
        <v>0</v>
      </c>
      <c r="B370" s="325" t="s">
        <v>1292</v>
      </c>
      <c r="C370" s="313" t="s">
        <v>396</v>
      </c>
      <c r="D370" s="313" t="s">
        <v>1293</v>
      </c>
      <c r="E370" s="313" t="s">
        <v>312</v>
      </c>
      <c r="F370" s="313"/>
      <c r="G370" s="106">
        <v>28838</v>
      </c>
      <c r="H370" s="106">
        <v>15449</v>
      </c>
      <c r="I370" s="106">
        <v>13389</v>
      </c>
      <c r="J370" s="106">
        <v>13389</v>
      </c>
      <c r="K370" s="106"/>
      <c r="L370" s="106"/>
      <c r="M370" s="106"/>
      <c r="N370" s="106"/>
      <c r="O370" s="106"/>
      <c r="P370" s="106"/>
      <c r="Q370" s="106"/>
      <c r="R370" s="106"/>
      <c r="S370" s="106"/>
      <c r="T370" s="106"/>
      <c r="U370" s="106">
        <v>0</v>
      </c>
      <c r="V370" s="106">
        <v>0</v>
      </c>
      <c r="W370" s="106">
        <v>5000</v>
      </c>
      <c r="X370" s="106">
        <v>5000</v>
      </c>
      <c r="Y370" s="106"/>
      <c r="Z370" s="106"/>
      <c r="AA370" s="334"/>
      <c r="AB370" s="314" t="s">
        <v>1228</v>
      </c>
    </row>
    <row r="371" spans="1:28" ht="45.75" customHeight="1">
      <c r="A371" s="303" t="s">
        <v>23</v>
      </c>
      <c r="B371" s="304" t="s">
        <v>110</v>
      </c>
      <c r="C371" s="305"/>
      <c r="D371" s="305"/>
      <c r="E371" s="305"/>
      <c r="F371" s="305"/>
      <c r="G371" s="104">
        <f>+G372</f>
        <v>43698</v>
      </c>
      <c r="H371" s="104">
        <f t="shared" ref="H371:Z371" si="154">+H372</f>
        <v>32605</v>
      </c>
      <c r="I371" s="104">
        <f t="shared" si="154"/>
        <v>20000</v>
      </c>
      <c r="J371" s="104">
        <f t="shared" si="154"/>
        <v>20000</v>
      </c>
      <c r="K371" s="104">
        <f t="shared" si="154"/>
        <v>0</v>
      </c>
      <c r="L371" s="104">
        <f t="shared" si="154"/>
        <v>0</v>
      </c>
      <c r="M371" s="104">
        <f t="shared" si="154"/>
        <v>8000</v>
      </c>
      <c r="N371" s="104">
        <f t="shared" si="154"/>
        <v>8000</v>
      </c>
      <c r="O371" s="104">
        <f t="shared" si="154"/>
        <v>353</v>
      </c>
      <c r="P371" s="104">
        <f t="shared" si="154"/>
        <v>353</v>
      </c>
      <c r="Q371" s="104">
        <f t="shared" si="154"/>
        <v>2000</v>
      </c>
      <c r="R371" s="104">
        <f t="shared" si="154"/>
        <v>2000</v>
      </c>
      <c r="S371" s="104">
        <f t="shared" si="154"/>
        <v>5000</v>
      </c>
      <c r="T371" s="104">
        <f t="shared" si="154"/>
        <v>5000</v>
      </c>
      <c r="U371" s="104">
        <f t="shared" si="154"/>
        <v>5000</v>
      </c>
      <c r="V371" s="104">
        <f t="shared" si="154"/>
        <v>5000</v>
      </c>
      <c r="W371" s="104">
        <f t="shared" si="154"/>
        <v>14916</v>
      </c>
      <c r="X371" s="104">
        <f t="shared" si="154"/>
        <v>14916</v>
      </c>
      <c r="Y371" s="104">
        <f t="shared" si="154"/>
        <v>3000</v>
      </c>
      <c r="Z371" s="104">
        <f t="shared" si="154"/>
        <v>0</v>
      </c>
      <c r="AA371" s="306"/>
      <c r="AB371" s="343"/>
    </row>
    <row r="372" spans="1:28" ht="19.5">
      <c r="A372" s="307" t="s">
        <v>19</v>
      </c>
      <c r="B372" s="308" t="s">
        <v>20</v>
      </c>
      <c r="C372" s="309"/>
      <c r="D372" s="309"/>
      <c r="E372" s="309"/>
      <c r="F372" s="309"/>
      <c r="G372" s="105">
        <f>SUM(G373:G374)</f>
        <v>43698</v>
      </c>
      <c r="H372" s="105">
        <f t="shared" ref="H372:Z372" si="155">SUM(H373:H374)</f>
        <v>32605</v>
      </c>
      <c r="I372" s="105">
        <f t="shared" si="155"/>
        <v>20000</v>
      </c>
      <c r="J372" s="105">
        <f t="shared" si="155"/>
        <v>20000</v>
      </c>
      <c r="K372" s="105">
        <f t="shared" si="155"/>
        <v>0</v>
      </c>
      <c r="L372" s="105">
        <f t="shared" si="155"/>
        <v>0</v>
      </c>
      <c r="M372" s="105">
        <f t="shared" si="155"/>
        <v>8000</v>
      </c>
      <c r="N372" s="105">
        <f t="shared" si="155"/>
        <v>8000</v>
      </c>
      <c r="O372" s="105">
        <f t="shared" si="155"/>
        <v>353</v>
      </c>
      <c r="P372" s="105">
        <f t="shared" si="155"/>
        <v>353</v>
      </c>
      <c r="Q372" s="105">
        <f t="shared" si="155"/>
        <v>2000</v>
      </c>
      <c r="R372" s="105">
        <f t="shared" si="155"/>
        <v>2000</v>
      </c>
      <c r="S372" s="105">
        <f t="shared" si="155"/>
        <v>5000</v>
      </c>
      <c r="T372" s="105">
        <f t="shared" si="155"/>
        <v>5000</v>
      </c>
      <c r="U372" s="105">
        <f t="shared" si="155"/>
        <v>5000</v>
      </c>
      <c r="V372" s="105">
        <f t="shared" si="155"/>
        <v>5000</v>
      </c>
      <c r="W372" s="105">
        <f t="shared" si="155"/>
        <v>14916</v>
      </c>
      <c r="X372" s="105">
        <f t="shared" si="155"/>
        <v>14916</v>
      </c>
      <c r="Y372" s="105">
        <f t="shared" si="155"/>
        <v>3000</v>
      </c>
      <c r="Z372" s="105">
        <f t="shared" si="155"/>
        <v>0</v>
      </c>
      <c r="AA372" s="310"/>
      <c r="AB372" s="343"/>
    </row>
    <row r="373" spans="1:28" ht="150">
      <c r="A373" s="311" t="s">
        <v>13</v>
      </c>
      <c r="B373" s="312" t="s">
        <v>577</v>
      </c>
      <c r="C373" s="313" t="s">
        <v>250</v>
      </c>
      <c r="D373" s="313" t="s">
        <v>578</v>
      </c>
      <c r="E373" s="313" t="s">
        <v>289</v>
      </c>
      <c r="F373" s="313" t="s">
        <v>579</v>
      </c>
      <c r="G373" s="106">
        <v>9916</v>
      </c>
      <c r="H373" s="106">
        <v>9916</v>
      </c>
      <c r="I373" s="106">
        <f>J373</f>
        <v>10000</v>
      </c>
      <c r="J373" s="106">
        <v>10000</v>
      </c>
      <c r="K373" s="106"/>
      <c r="L373" s="106"/>
      <c r="M373" s="106">
        <f>N373</f>
        <v>3000</v>
      </c>
      <c r="N373" s="106">
        <v>3000</v>
      </c>
      <c r="O373" s="106">
        <v>353</v>
      </c>
      <c r="P373" s="106">
        <v>353</v>
      </c>
      <c r="Q373" s="106"/>
      <c r="R373" s="106"/>
      <c r="S373" s="106"/>
      <c r="T373" s="106"/>
      <c r="U373" s="106"/>
      <c r="V373" s="106"/>
      <c r="W373" s="106">
        <f>X373</f>
        <v>9916</v>
      </c>
      <c r="X373" s="106">
        <f>H373</f>
        <v>9916</v>
      </c>
      <c r="Y373" s="106">
        <v>3000</v>
      </c>
      <c r="Z373" s="106"/>
      <c r="AA373" s="313" t="s">
        <v>580</v>
      </c>
      <c r="AB373" s="314" t="s">
        <v>593</v>
      </c>
    </row>
    <row r="374" spans="1:28" ht="75">
      <c r="A374" s="336">
        <v>2</v>
      </c>
      <c r="B374" s="330" t="s">
        <v>672</v>
      </c>
      <c r="C374" s="336" t="s">
        <v>673</v>
      </c>
      <c r="D374" s="314" t="s">
        <v>674</v>
      </c>
      <c r="E374" s="327" t="s">
        <v>675</v>
      </c>
      <c r="F374" s="327" t="s">
        <v>676</v>
      </c>
      <c r="G374" s="416">
        <v>33782</v>
      </c>
      <c r="H374" s="416">
        <v>22689</v>
      </c>
      <c r="I374" s="94">
        <f t="shared" ref="I374" si="156">J374</f>
        <v>10000</v>
      </c>
      <c r="J374" s="99">
        <v>10000</v>
      </c>
      <c r="K374" s="106"/>
      <c r="L374" s="106"/>
      <c r="M374" s="94">
        <f t="shared" ref="M374" si="157">N374</f>
        <v>5000</v>
      </c>
      <c r="N374" s="99">
        <v>5000</v>
      </c>
      <c r="O374" s="99"/>
      <c r="P374" s="99"/>
      <c r="Q374" s="94">
        <f t="shared" ref="Q374" si="158">R374</f>
        <v>2000</v>
      </c>
      <c r="R374" s="91">
        <v>2000</v>
      </c>
      <c r="S374" s="94">
        <f t="shared" ref="S374" si="159">T374</f>
        <v>5000</v>
      </c>
      <c r="T374" s="99">
        <v>5000</v>
      </c>
      <c r="U374" s="94">
        <f t="shared" ref="U374" si="160">V374</f>
        <v>5000</v>
      </c>
      <c r="V374" s="99">
        <v>5000</v>
      </c>
      <c r="W374" s="94">
        <f t="shared" ref="W374" si="161">X374</f>
        <v>5000</v>
      </c>
      <c r="X374" s="94">
        <f t="shared" ref="X374" si="162">J374-V374</f>
        <v>5000</v>
      </c>
      <c r="Y374" s="99"/>
      <c r="Z374" s="99"/>
      <c r="AA374" s="297" t="s">
        <v>638</v>
      </c>
      <c r="AB374" s="314" t="s">
        <v>639</v>
      </c>
    </row>
    <row r="375" spans="1:28" ht="37.5">
      <c r="A375" s="370" t="s">
        <v>24</v>
      </c>
      <c r="B375" s="371" t="s">
        <v>115</v>
      </c>
      <c r="C375" s="291"/>
      <c r="D375" s="291"/>
      <c r="E375" s="291"/>
      <c r="F375" s="291"/>
      <c r="G375" s="372">
        <f>G376</f>
        <v>0</v>
      </c>
      <c r="H375" s="372">
        <f t="shared" ref="H375:Z376" si="163">H376</f>
        <v>0</v>
      </c>
      <c r="I375" s="372">
        <f t="shared" si="163"/>
        <v>176122</v>
      </c>
      <c r="J375" s="372">
        <f t="shared" si="163"/>
        <v>62004</v>
      </c>
      <c r="K375" s="372">
        <f t="shared" si="163"/>
        <v>0</v>
      </c>
      <c r="L375" s="372">
        <f t="shared" si="163"/>
        <v>0</v>
      </c>
      <c r="M375" s="372">
        <f t="shared" si="163"/>
        <v>0</v>
      </c>
      <c r="N375" s="372">
        <f t="shared" si="163"/>
        <v>0</v>
      </c>
      <c r="O375" s="372">
        <f t="shared" si="163"/>
        <v>0</v>
      </c>
      <c r="P375" s="372">
        <f t="shared" si="163"/>
        <v>0</v>
      </c>
      <c r="Q375" s="372">
        <f t="shared" si="163"/>
        <v>0</v>
      </c>
      <c r="R375" s="372">
        <f t="shared" si="163"/>
        <v>0</v>
      </c>
      <c r="S375" s="372">
        <f t="shared" si="163"/>
        <v>0</v>
      </c>
      <c r="T375" s="372">
        <f t="shared" si="163"/>
        <v>0</v>
      </c>
      <c r="U375" s="372">
        <f t="shared" si="163"/>
        <v>0</v>
      </c>
      <c r="V375" s="372">
        <f t="shared" si="163"/>
        <v>0</v>
      </c>
      <c r="W375" s="372">
        <f t="shared" si="163"/>
        <v>15000</v>
      </c>
      <c r="X375" s="372">
        <f t="shared" si="163"/>
        <v>15000</v>
      </c>
      <c r="Y375" s="372">
        <f t="shared" si="163"/>
        <v>0</v>
      </c>
      <c r="Z375" s="372">
        <f t="shared" si="163"/>
        <v>0</v>
      </c>
      <c r="AA375" s="372"/>
      <c r="AB375" s="314"/>
    </row>
    <row r="376" spans="1:28" ht="19.5">
      <c r="A376" s="367" t="s">
        <v>46</v>
      </c>
      <c r="B376" s="368" t="s">
        <v>18</v>
      </c>
      <c r="C376" s="373"/>
      <c r="D376" s="373"/>
      <c r="E376" s="373"/>
      <c r="F376" s="373"/>
      <c r="G376" s="374">
        <f>G377</f>
        <v>0</v>
      </c>
      <c r="H376" s="374">
        <f t="shared" si="163"/>
        <v>0</v>
      </c>
      <c r="I376" s="374">
        <f t="shared" si="163"/>
        <v>176122</v>
      </c>
      <c r="J376" s="374">
        <f t="shared" si="163"/>
        <v>62004</v>
      </c>
      <c r="K376" s="374">
        <f t="shared" si="163"/>
        <v>0</v>
      </c>
      <c r="L376" s="374">
        <f t="shared" si="163"/>
        <v>0</v>
      </c>
      <c r="M376" s="374">
        <f t="shared" si="163"/>
        <v>0</v>
      </c>
      <c r="N376" s="374">
        <f t="shared" si="163"/>
        <v>0</v>
      </c>
      <c r="O376" s="374">
        <f t="shared" si="163"/>
        <v>0</v>
      </c>
      <c r="P376" s="374">
        <f t="shared" si="163"/>
        <v>0</v>
      </c>
      <c r="Q376" s="374">
        <f t="shared" si="163"/>
        <v>0</v>
      </c>
      <c r="R376" s="374">
        <f t="shared" si="163"/>
        <v>0</v>
      </c>
      <c r="S376" s="374">
        <f t="shared" si="163"/>
        <v>0</v>
      </c>
      <c r="T376" s="374">
        <f t="shared" si="163"/>
        <v>0</v>
      </c>
      <c r="U376" s="374">
        <f t="shared" si="163"/>
        <v>0</v>
      </c>
      <c r="V376" s="374">
        <f t="shared" si="163"/>
        <v>0</v>
      </c>
      <c r="W376" s="374">
        <f t="shared" si="163"/>
        <v>15000</v>
      </c>
      <c r="X376" s="374">
        <f t="shared" si="163"/>
        <v>15000</v>
      </c>
      <c r="Y376" s="374">
        <f t="shared" si="163"/>
        <v>0</v>
      </c>
      <c r="Z376" s="374">
        <f t="shared" si="163"/>
        <v>0</v>
      </c>
      <c r="AA376" s="374"/>
      <c r="AB376" s="314"/>
    </row>
    <row r="377" spans="1:28" ht="150">
      <c r="A377" s="339"/>
      <c r="B377" s="360" t="s">
        <v>716</v>
      </c>
      <c r="C377" s="297" t="s">
        <v>717</v>
      </c>
      <c r="D377" s="331" t="s">
        <v>718</v>
      </c>
      <c r="E377" s="331" t="s">
        <v>355</v>
      </c>
      <c r="F377" s="331"/>
      <c r="G377" s="342"/>
      <c r="H377" s="342"/>
      <c r="I377" s="103">
        <v>176122</v>
      </c>
      <c r="J377" s="103">
        <v>62004</v>
      </c>
      <c r="K377" s="342"/>
      <c r="L377" s="342"/>
      <c r="M377" s="342"/>
      <c r="N377" s="342"/>
      <c r="O377" s="342"/>
      <c r="P377" s="342"/>
      <c r="Q377" s="342"/>
      <c r="R377" s="342"/>
      <c r="S377" s="342"/>
      <c r="T377" s="342"/>
      <c r="U377" s="342"/>
      <c r="V377" s="342"/>
      <c r="W377" s="103">
        <f>X377</f>
        <v>15000</v>
      </c>
      <c r="X377" s="103">
        <v>15000</v>
      </c>
      <c r="Y377" s="342"/>
      <c r="Z377" s="342"/>
      <c r="AA377" s="342"/>
      <c r="AB377" s="314" t="s">
        <v>684</v>
      </c>
    </row>
    <row r="378" spans="1:28">
      <c r="A378" s="300" t="s">
        <v>38</v>
      </c>
      <c r="B378" s="301" t="s">
        <v>590</v>
      </c>
      <c r="C378" s="392"/>
      <c r="D378" s="392"/>
      <c r="E378" s="392"/>
      <c r="F378" s="392"/>
      <c r="G378" s="104">
        <f>+G379</f>
        <v>140977</v>
      </c>
      <c r="H378" s="104">
        <f t="shared" ref="H378:Z378" si="164">+H379</f>
        <v>140977</v>
      </c>
      <c r="I378" s="104">
        <f t="shared" si="164"/>
        <v>81860</v>
      </c>
      <c r="J378" s="104">
        <f t="shared" si="164"/>
        <v>13547</v>
      </c>
      <c r="K378" s="104">
        <f t="shared" si="164"/>
        <v>0</v>
      </c>
      <c r="L378" s="104">
        <f t="shared" si="164"/>
        <v>0</v>
      </c>
      <c r="M378" s="104">
        <f t="shared" si="164"/>
        <v>106</v>
      </c>
      <c r="N378" s="104">
        <f t="shared" si="164"/>
        <v>106</v>
      </c>
      <c r="O378" s="104">
        <f t="shared" si="164"/>
        <v>1228.885</v>
      </c>
      <c r="P378" s="104">
        <f t="shared" si="164"/>
        <v>1228.885</v>
      </c>
      <c r="Q378" s="104">
        <f t="shared" si="164"/>
        <v>2154</v>
      </c>
      <c r="R378" s="104">
        <f t="shared" si="164"/>
        <v>2154</v>
      </c>
      <c r="S378" s="104">
        <f t="shared" si="164"/>
        <v>2414</v>
      </c>
      <c r="T378" s="104">
        <f t="shared" si="164"/>
        <v>2414</v>
      </c>
      <c r="U378" s="104">
        <f t="shared" si="164"/>
        <v>79813</v>
      </c>
      <c r="V378" s="104">
        <f t="shared" si="164"/>
        <v>79813</v>
      </c>
      <c r="W378" s="104">
        <f t="shared" si="164"/>
        <v>0</v>
      </c>
      <c r="X378" s="104">
        <f t="shared" si="164"/>
        <v>0</v>
      </c>
      <c r="Y378" s="104">
        <f t="shared" si="164"/>
        <v>0</v>
      </c>
      <c r="Z378" s="104">
        <f t="shared" si="164"/>
        <v>0</v>
      </c>
      <c r="AA378" s="392"/>
      <c r="AB378" s="392"/>
    </row>
    <row r="379" spans="1:28">
      <c r="A379" s="302" t="s">
        <v>43</v>
      </c>
      <c r="B379" s="301" t="s">
        <v>58</v>
      </c>
      <c r="C379" s="392"/>
      <c r="D379" s="392"/>
      <c r="E379" s="392"/>
      <c r="F379" s="392"/>
      <c r="G379" s="104">
        <f t="shared" ref="G379:Z379" si="165">+G380+G383</f>
        <v>140977</v>
      </c>
      <c r="H379" s="104">
        <f t="shared" si="165"/>
        <v>140977</v>
      </c>
      <c r="I379" s="104">
        <f t="shared" si="165"/>
        <v>81860</v>
      </c>
      <c r="J379" s="104">
        <f t="shared" si="165"/>
        <v>13547</v>
      </c>
      <c r="K379" s="104">
        <f t="shared" si="165"/>
        <v>0</v>
      </c>
      <c r="L379" s="104">
        <f t="shared" si="165"/>
        <v>0</v>
      </c>
      <c r="M379" s="104">
        <f t="shared" si="165"/>
        <v>106</v>
      </c>
      <c r="N379" s="104">
        <f t="shared" si="165"/>
        <v>106</v>
      </c>
      <c r="O379" s="104">
        <f t="shared" si="165"/>
        <v>1228.885</v>
      </c>
      <c r="P379" s="104">
        <f t="shared" si="165"/>
        <v>1228.885</v>
      </c>
      <c r="Q379" s="104">
        <f t="shared" si="165"/>
        <v>2154</v>
      </c>
      <c r="R379" s="104">
        <f t="shared" si="165"/>
        <v>2154</v>
      </c>
      <c r="S379" s="104">
        <f t="shared" si="165"/>
        <v>2414</v>
      </c>
      <c r="T379" s="104">
        <f t="shared" si="165"/>
        <v>2414</v>
      </c>
      <c r="U379" s="104">
        <f t="shared" si="165"/>
        <v>79813</v>
      </c>
      <c r="V379" s="104">
        <f t="shared" si="165"/>
        <v>79813</v>
      </c>
      <c r="W379" s="104">
        <f t="shared" si="165"/>
        <v>0</v>
      </c>
      <c r="X379" s="104">
        <f t="shared" si="165"/>
        <v>0</v>
      </c>
      <c r="Y379" s="104">
        <f t="shared" si="165"/>
        <v>0</v>
      </c>
      <c r="Z379" s="104">
        <f t="shared" si="165"/>
        <v>0</v>
      </c>
      <c r="AA379" s="392"/>
      <c r="AB379" s="343"/>
    </row>
    <row r="380" spans="1:28" ht="62.25" customHeight="1">
      <c r="A380" s="303" t="s">
        <v>39</v>
      </c>
      <c r="B380" s="304" t="s">
        <v>108</v>
      </c>
      <c r="C380" s="305"/>
      <c r="D380" s="305"/>
      <c r="E380" s="305"/>
      <c r="F380" s="305"/>
      <c r="G380" s="104">
        <f>+G381</f>
        <v>14050</v>
      </c>
      <c r="H380" s="104">
        <f t="shared" ref="H380:Z380" si="166">+H381</f>
        <v>14050</v>
      </c>
      <c r="I380" s="104">
        <f t="shared" si="166"/>
        <v>13547</v>
      </c>
      <c r="J380" s="104">
        <f t="shared" si="166"/>
        <v>13547</v>
      </c>
      <c r="K380" s="104">
        <f t="shared" si="166"/>
        <v>0</v>
      </c>
      <c r="L380" s="104">
        <f t="shared" si="166"/>
        <v>0</v>
      </c>
      <c r="M380" s="104">
        <f t="shared" si="166"/>
        <v>0</v>
      </c>
      <c r="N380" s="104">
        <f t="shared" si="166"/>
        <v>0</v>
      </c>
      <c r="O380" s="104">
        <f t="shared" si="166"/>
        <v>1228.885</v>
      </c>
      <c r="P380" s="104">
        <f t="shared" si="166"/>
        <v>1228.885</v>
      </c>
      <c r="Q380" s="104">
        <f t="shared" si="166"/>
        <v>2048</v>
      </c>
      <c r="R380" s="104">
        <f t="shared" si="166"/>
        <v>2048</v>
      </c>
      <c r="S380" s="104">
        <f t="shared" si="166"/>
        <v>2048</v>
      </c>
      <c r="T380" s="104">
        <f t="shared" si="166"/>
        <v>2048</v>
      </c>
      <c r="U380" s="104">
        <f t="shared" si="166"/>
        <v>12428</v>
      </c>
      <c r="V380" s="104">
        <f t="shared" si="166"/>
        <v>12428</v>
      </c>
      <c r="W380" s="104">
        <f t="shared" si="166"/>
        <v>0</v>
      </c>
      <c r="X380" s="104">
        <f t="shared" si="166"/>
        <v>0</v>
      </c>
      <c r="Y380" s="104">
        <f t="shared" si="166"/>
        <v>0</v>
      </c>
      <c r="Z380" s="104">
        <f t="shared" si="166"/>
        <v>0</v>
      </c>
      <c r="AA380" s="306"/>
      <c r="AB380" s="343"/>
    </row>
    <row r="381" spans="1:28" ht="19.5">
      <c r="A381" s="307" t="s">
        <v>19</v>
      </c>
      <c r="B381" s="308" t="s">
        <v>20</v>
      </c>
      <c r="C381" s="309"/>
      <c r="D381" s="309"/>
      <c r="E381" s="309"/>
      <c r="F381" s="309"/>
      <c r="G381" s="105">
        <f>SUM(G382)</f>
        <v>14050</v>
      </c>
      <c r="H381" s="105">
        <f t="shared" ref="H381:Z381" si="167">SUM(H382)</f>
        <v>14050</v>
      </c>
      <c r="I381" s="105">
        <f t="shared" si="167"/>
        <v>13547</v>
      </c>
      <c r="J381" s="105">
        <f t="shared" si="167"/>
        <v>13547</v>
      </c>
      <c r="K381" s="105">
        <f t="shared" si="167"/>
        <v>0</v>
      </c>
      <c r="L381" s="105">
        <f t="shared" si="167"/>
        <v>0</v>
      </c>
      <c r="M381" s="105">
        <f t="shared" si="167"/>
        <v>0</v>
      </c>
      <c r="N381" s="105">
        <f t="shared" si="167"/>
        <v>0</v>
      </c>
      <c r="O381" s="105">
        <f t="shared" si="167"/>
        <v>1228.885</v>
      </c>
      <c r="P381" s="105">
        <f t="shared" si="167"/>
        <v>1228.885</v>
      </c>
      <c r="Q381" s="105">
        <f t="shared" si="167"/>
        <v>2048</v>
      </c>
      <c r="R381" s="105">
        <f t="shared" si="167"/>
        <v>2048</v>
      </c>
      <c r="S381" s="105">
        <f t="shared" si="167"/>
        <v>2048</v>
      </c>
      <c r="T381" s="105">
        <f t="shared" si="167"/>
        <v>2048</v>
      </c>
      <c r="U381" s="105">
        <f t="shared" si="167"/>
        <v>12428</v>
      </c>
      <c r="V381" s="105">
        <f t="shared" si="167"/>
        <v>12428</v>
      </c>
      <c r="W381" s="105">
        <f t="shared" si="167"/>
        <v>0</v>
      </c>
      <c r="X381" s="105">
        <f t="shared" si="167"/>
        <v>0</v>
      </c>
      <c r="Y381" s="105">
        <f t="shared" si="167"/>
        <v>0</v>
      </c>
      <c r="Z381" s="105">
        <f t="shared" si="167"/>
        <v>0</v>
      </c>
      <c r="AA381" s="310"/>
      <c r="AB381" s="343"/>
    </row>
    <row r="382" spans="1:28" ht="112.5" customHeight="1">
      <c r="A382" s="311" t="s">
        <v>581</v>
      </c>
      <c r="B382" s="312" t="s">
        <v>582</v>
      </c>
      <c r="C382" s="313" t="s">
        <v>250</v>
      </c>
      <c r="D382" s="313" t="s">
        <v>583</v>
      </c>
      <c r="E382" s="313" t="s">
        <v>230</v>
      </c>
      <c r="F382" s="88" t="s">
        <v>584</v>
      </c>
      <c r="G382" s="106">
        <f>H382</f>
        <v>14050</v>
      </c>
      <c r="H382" s="106">
        <v>14050</v>
      </c>
      <c r="I382" s="106">
        <f>J382</f>
        <v>13547</v>
      </c>
      <c r="J382" s="106">
        <v>13547</v>
      </c>
      <c r="K382" s="106"/>
      <c r="L382" s="106"/>
      <c r="M382" s="106">
        <f>N382</f>
        <v>0</v>
      </c>
      <c r="N382" s="106"/>
      <c r="O382" s="106">
        <f>P382</f>
        <v>1228.885</v>
      </c>
      <c r="P382" s="106">
        <v>1228.885</v>
      </c>
      <c r="Q382" s="106">
        <f>R382</f>
        <v>2048</v>
      </c>
      <c r="R382" s="106">
        <f>1548+500</f>
        <v>2048</v>
      </c>
      <c r="S382" s="106">
        <f>T382</f>
        <v>2048</v>
      </c>
      <c r="T382" s="106">
        <f>1548+500</f>
        <v>2048</v>
      </c>
      <c r="U382" s="106">
        <f>V382</f>
        <v>12428</v>
      </c>
      <c r="V382" s="106">
        <v>12428</v>
      </c>
      <c r="W382" s="106"/>
      <c r="X382" s="106"/>
      <c r="Y382" s="106"/>
      <c r="Z382" s="106"/>
      <c r="AA382" s="313" t="s">
        <v>585</v>
      </c>
      <c r="AB382" s="314" t="s">
        <v>593</v>
      </c>
    </row>
    <row r="383" spans="1:28" ht="37.5">
      <c r="A383" s="303" t="s">
        <v>41</v>
      </c>
      <c r="B383" s="304" t="s">
        <v>109</v>
      </c>
      <c r="C383" s="305"/>
      <c r="D383" s="305"/>
      <c r="E383" s="305"/>
      <c r="F383" s="305"/>
      <c r="G383" s="104">
        <f>+G384</f>
        <v>126927</v>
      </c>
      <c r="H383" s="104">
        <f t="shared" ref="H383:Z383" si="168">+H384</f>
        <v>126927</v>
      </c>
      <c r="I383" s="104">
        <f t="shared" si="168"/>
        <v>68313</v>
      </c>
      <c r="J383" s="104">
        <f t="shared" si="168"/>
        <v>0</v>
      </c>
      <c r="K383" s="104">
        <f t="shared" si="168"/>
        <v>0</v>
      </c>
      <c r="L383" s="104">
        <f t="shared" si="168"/>
        <v>0</v>
      </c>
      <c r="M383" s="104">
        <f t="shared" si="168"/>
        <v>106</v>
      </c>
      <c r="N383" s="104">
        <f t="shared" si="168"/>
        <v>106</v>
      </c>
      <c r="O383" s="104">
        <f t="shared" si="168"/>
        <v>0</v>
      </c>
      <c r="P383" s="104">
        <f t="shared" si="168"/>
        <v>0</v>
      </c>
      <c r="Q383" s="104">
        <f t="shared" si="168"/>
        <v>106</v>
      </c>
      <c r="R383" s="104">
        <f t="shared" si="168"/>
        <v>106</v>
      </c>
      <c r="S383" s="104">
        <f t="shared" si="168"/>
        <v>366</v>
      </c>
      <c r="T383" s="104">
        <f t="shared" si="168"/>
        <v>366</v>
      </c>
      <c r="U383" s="104">
        <f t="shared" si="168"/>
        <v>67385</v>
      </c>
      <c r="V383" s="104">
        <f t="shared" si="168"/>
        <v>67385</v>
      </c>
      <c r="W383" s="104">
        <f t="shared" si="168"/>
        <v>0</v>
      </c>
      <c r="X383" s="104">
        <f t="shared" si="168"/>
        <v>0</v>
      </c>
      <c r="Y383" s="104">
        <f t="shared" si="168"/>
        <v>0</v>
      </c>
      <c r="Z383" s="104">
        <f t="shared" si="168"/>
        <v>0</v>
      </c>
      <c r="AA383" s="306"/>
      <c r="AB383" s="343"/>
    </row>
    <row r="384" spans="1:28" ht="19.5">
      <c r="A384" s="307" t="s">
        <v>46</v>
      </c>
      <c r="B384" s="308" t="s">
        <v>18</v>
      </c>
      <c r="C384" s="309"/>
      <c r="D384" s="309"/>
      <c r="E384" s="309"/>
      <c r="F384" s="309"/>
      <c r="G384" s="105">
        <f>SUM(G385)</f>
        <v>126927</v>
      </c>
      <c r="H384" s="105">
        <f t="shared" ref="H384:Z384" si="169">SUM(H385)</f>
        <v>126927</v>
      </c>
      <c r="I384" s="105">
        <f t="shared" si="169"/>
        <v>68313</v>
      </c>
      <c r="J384" s="105">
        <f t="shared" si="169"/>
        <v>0</v>
      </c>
      <c r="K384" s="105">
        <f t="shared" si="169"/>
        <v>0</v>
      </c>
      <c r="L384" s="105">
        <f t="shared" si="169"/>
        <v>0</v>
      </c>
      <c r="M384" s="105">
        <f t="shared" si="169"/>
        <v>106</v>
      </c>
      <c r="N384" s="105">
        <f t="shared" si="169"/>
        <v>106</v>
      </c>
      <c r="O384" s="105">
        <f t="shared" si="169"/>
        <v>0</v>
      </c>
      <c r="P384" s="105">
        <f t="shared" si="169"/>
        <v>0</v>
      </c>
      <c r="Q384" s="105">
        <f t="shared" si="169"/>
        <v>106</v>
      </c>
      <c r="R384" s="105">
        <f t="shared" si="169"/>
        <v>106</v>
      </c>
      <c r="S384" s="105">
        <f t="shared" si="169"/>
        <v>366</v>
      </c>
      <c r="T384" s="105">
        <f t="shared" si="169"/>
        <v>366</v>
      </c>
      <c r="U384" s="105">
        <f t="shared" si="169"/>
        <v>67385</v>
      </c>
      <c r="V384" s="105">
        <f t="shared" si="169"/>
        <v>67385</v>
      </c>
      <c r="W384" s="105">
        <f t="shared" si="169"/>
        <v>0</v>
      </c>
      <c r="X384" s="105">
        <f t="shared" si="169"/>
        <v>0</v>
      </c>
      <c r="Y384" s="105">
        <f t="shared" si="169"/>
        <v>0</v>
      </c>
      <c r="Z384" s="105">
        <f t="shared" si="169"/>
        <v>0</v>
      </c>
      <c r="AA384" s="310"/>
      <c r="AB384" s="343"/>
    </row>
    <row r="385" spans="1:28" ht="112.5">
      <c r="A385" s="311" t="s">
        <v>586</v>
      </c>
      <c r="B385" s="312" t="s">
        <v>587</v>
      </c>
      <c r="C385" s="313" t="s">
        <v>438</v>
      </c>
      <c r="D385" s="313" t="s">
        <v>588</v>
      </c>
      <c r="E385" s="313" t="s">
        <v>257</v>
      </c>
      <c r="F385" s="321" t="s">
        <v>589</v>
      </c>
      <c r="G385" s="106">
        <v>126927</v>
      </c>
      <c r="H385" s="106">
        <v>126927</v>
      </c>
      <c r="I385" s="106">
        <v>68313</v>
      </c>
      <c r="J385" s="106"/>
      <c r="K385" s="106"/>
      <c r="L385" s="106"/>
      <c r="M385" s="106">
        <v>106</v>
      </c>
      <c r="N385" s="106">
        <v>106</v>
      </c>
      <c r="O385" s="106"/>
      <c r="P385" s="106"/>
      <c r="Q385" s="106">
        <v>106</v>
      </c>
      <c r="R385" s="106">
        <v>106</v>
      </c>
      <c r="S385" s="106">
        <f>T385</f>
        <v>366</v>
      </c>
      <c r="T385" s="106">
        <f>106+260</f>
        <v>366</v>
      </c>
      <c r="U385" s="106">
        <f>V385</f>
        <v>67385</v>
      </c>
      <c r="V385" s="106">
        <v>67385</v>
      </c>
      <c r="W385" s="106"/>
      <c r="X385" s="106"/>
      <c r="Y385" s="106"/>
      <c r="Z385" s="106"/>
      <c r="AA385" s="318" t="s">
        <v>829</v>
      </c>
      <c r="AB385" s="314" t="s">
        <v>593</v>
      </c>
    </row>
    <row r="386" spans="1:28">
      <c r="A386" s="417"/>
      <c r="B386" s="343"/>
      <c r="C386" s="343"/>
      <c r="D386" s="343"/>
      <c r="E386" s="343"/>
      <c r="F386" s="343"/>
      <c r="G386" s="343"/>
      <c r="H386" s="343"/>
      <c r="I386" s="343"/>
      <c r="J386" s="343"/>
      <c r="K386" s="343"/>
      <c r="L386" s="343"/>
      <c r="M386" s="343"/>
      <c r="N386" s="343"/>
      <c r="O386" s="343"/>
      <c r="P386" s="343"/>
      <c r="Q386" s="343"/>
      <c r="R386" s="343"/>
      <c r="S386" s="343"/>
      <c r="T386" s="343"/>
      <c r="U386" s="343"/>
      <c r="V386" s="343"/>
      <c r="W386" s="343"/>
      <c r="X386" s="343"/>
      <c r="Y386" s="343"/>
      <c r="Z386" s="343"/>
      <c r="AA386" s="343"/>
      <c r="AB386" s="343"/>
    </row>
    <row r="387" spans="1:28">
      <c r="A387" s="417"/>
      <c r="B387" s="343"/>
      <c r="C387" s="343"/>
      <c r="D387" s="343"/>
      <c r="E387" s="343"/>
      <c r="F387" s="343"/>
      <c r="G387" s="343"/>
      <c r="H387" s="343"/>
      <c r="I387" s="343"/>
      <c r="J387" s="343"/>
      <c r="K387" s="343"/>
      <c r="L387" s="343"/>
      <c r="M387" s="343"/>
      <c r="N387" s="343"/>
      <c r="O387" s="343"/>
      <c r="P387" s="343"/>
      <c r="Q387" s="343"/>
      <c r="R387" s="343"/>
      <c r="S387" s="343"/>
      <c r="T387" s="343"/>
      <c r="U387" s="343"/>
      <c r="V387" s="343"/>
      <c r="W387" s="343"/>
      <c r="X387" s="343"/>
      <c r="Y387" s="343"/>
      <c r="Z387" s="343"/>
      <c r="AA387" s="343"/>
      <c r="AB387" s="343"/>
    </row>
    <row r="388" spans="1:28">
      <c r="A388" s="417"/>
      <c r="B388" s="343"/>
      <c r="C388" s="343"/>
      <c r="D388" s="343"/>
      <c r="E388" s="343"/>
      <c r="F388" s="343"/>
      <c r="G388" s="343"/>
      <c r="H388" s="343"/>
      <c r="I388" s="343"/>
      <c r="J388" s="343"/>
      <c r="K388" s="343"/>
      <c r="L388" s="343"/>
      <c r="M388" s="343"/>
      <c r="N388" s="343"/>
      <c r="O388" s="343"/>
      <c r="P388" s="343"/>
      <c r="Q388" s="343"/>
      <c r="R388" s="343"/>
      <c r="S388" s="343"/>
      <c r="T388" s="343"/>
      <c r="U388" s="343"/>
      <c r="V388" s="343"/>
      <c r="W388" s="343"/>
      <c r="X388" s="343"/>
      <c r="Y388" s="343"/>
      <c r="Z388" s="343"/>
      <c r="AA388" s="343"/>
      <c r="AB388" s="343"/>
    </row>
    <row r="389" spans="1:28">
      <c r="A389" s="417"/>
      <c r="B389" s="343"/>
      <c r="C389" s="343"/>
      <c r="D389" s="343"/>
      <c r="E389" s="343"/>
      <c r="F389" s="343"/>
      <c r="G389" s="343"/>
      <c r="H389" s="343"/>
      <c r="I389" s="343"/>
      <c r="J389" s="343"/>
      <c r="K389" s="343"/>
      <c r="L389" s="343"/>
      <c r="M389" s="343"/>
      <c r="N389" s="343"/>
      <c r="O389" s="343"/>
      <c r="P389" s="343"/>
      <c r="Q389" s="343"/>
      <c r="R389" s="343"/>
      <c r="S389" s="343"/>
      <c r="T389" s="343"/>
      <c r="U389" s="343"/>
      <c r="V389" s="343"/>
      <c r="W389" s="343"/>
      <c r="X389" s="343"/>
      <c r="Y389" s="343"/>
      <c r="Z389" s="343"/>
      <c r="AA389" s="343"/>
      <c r="AB389" s="343"/>
    </row>
    <row r="390" spans="1:28">
      <c r="A390" s="417"/>
      <c r="B390" s="343"/>
      <c r="C390" s="343"/>
      <c r="D390" s="343"/>
      <c r="E390" s="343"/>
      <c r="F390" s="343"/>
      <c r="G390" s="343"/>
      <c r="H390" s="343"/>
      <c r="I390" s="343"/>
      <c r="J390" s="343"/>
      <c r="K390" s="343"/>
      <c r="L390" s="343"/>
      <c r="M390" s="343"/>
      <c r="N390" s="343"/>
      <c r="O390" s="343"/>
      <c r="P390" s="343"/>
      <c r="Q390" s="343"/>
      <c r="R390" s="343"/>
      <c r="S390" s="343"/>
      <c r="T390" s="343"/>
      <c r="U390" s="343"/>
      <c r="V390" s="343"/>
      <c r="W390" s="343"/>
      <c r="X390" s="343"/>
      <c r="Y390" s="343"/>
      <c r="Z390" s="343"/>
      <c r="AA390" s="343"/>
      <c r="AB390" s="343"/>
    </row>
    <row r="391" spans="1:28">
      <c r="A391" s="417"/>
      <c r="B391" s="343"/>
      <c r="C391" s="343"/>
      <c r="D391" s="343"/>
      <c r="E391" s="343"/>
      <c r="F391" s="343"/>
      <c r="G391" s="343"/>
      <c r="H391" s="343"/>
      <c r="I391" s="343"/>
      <c r="J391" s="343"/>
      <c r="K391" s="343"/>
      <c r="L391" s="343"/>
      <c r="M391" s="343"/>
      <c r="N391" s="343"/>
      <c r="O391" s="343"/>
      <c r="P391" s="343"/>
      <c r="Q391" s="343"/>
      <c r="R391" s="343"/>
      <c r="S391" s="343"/>
      <c r="T391" s="343"/>
      <c r="U391" s="343"/>
      <c r="V391" s="343"/>
      <c r="W391" s="343"/>
      <c r="X391" s="343"/>
      <c r="Y391" s="343"/>
      <c r="Z391" s="343"/>
      <c r="AA391" s="343"/>
      <c r="AB391" s="343"/>
    </row>
    <row r="392" spans="1:28">
      <c r="A392" s="417"/>
      <c r="B392" s="343"/>
      <c r="C392" s="343"/>
      <c r="D392" s="343"/>
      <c r="E392" s="343"/>
      <c r="F392" s="343"/>
      <c r="G392" s="343"/>
      <c r="H392" s="343"/>
      <c r="I392" s="343"/>
      <c r="J392" s="343"/>
      <c r="K392" s="343"/>
      <c r="L392" s="343"/>
      <c r="M392" s="343"/>
      <c r="N392" s="343"/>
      <c r="O392" s="343"/>
      <c r="P392" s="343"/>
      <c r="Q392" s="343"/>
      <c r="R392" s="343"/>
      <c r="S392" s="343"/>
      <c r="T392" s="343"/>
      <c r="U392" s="343"/>
      <c r="V392" s="343"/>
      <c r="W392" s="343"/>
      <c r="X392" s="343"/>
      <c r="Y392" s="343"/>
      <c r="Z392" s="343"/>
      <c r="AA392" s="343"/>
      <c r="AB392" s="343"/>
    </row>
    <row r="393" spans="1:28">
      <c r="A393" s="417"/>
      <c r="B393" s="343"/>
      <c r="C393" s="343"/>
      <c r="D393" s="343"/>
      <c r="E393" s="343"/>
      <c r="F393" s="343"/>
      <c r="G393" s="343"/>
      <c r="H393" s="343"/>
      <c r="I393" s="343"/>
      <c r="J393" s="343"/>
      <c r="K393" s="343"/>
      <c r="L393" s="343"/>
      <c r="M393" s="343"/>
      <c r="N393" s="343"/>
      <c r="O393" s="343"/>
      <c r="P393" s="343"/>
      <c r="Q393" s="343"/>
      <c r="R393" s="343"/>
      <c r="S393" s="343"/>
      <c r="T393" s="343"/>
      <c r="U393" s="343"/>
      <c r="V393" s="343"/>
      <c r="W393" s="343"/>
      <c r="X393" s="343"/>
      <c r="Y393" s="343"/>
      <c r="Z393" s="343"/>
      <c r="AA393" s="343"/>
      <c r="AB393" s="343"/>
    </row>
    <row r="394" spans="1:28">
      <c r="A394" s="417"/>
      <c r="B394" s="343"/>
      <c r="C394" s="343"/>
      <c r="D394" s="343"/>
      <c r="E394" s="343"/>
      <c r="F394" s="343"/>
      <c r="G394" s="343"/>
      <c r="H394" s="343"/>
      <c r="I394" s="343"/>
      <c r="J394" s="343"/>
      <c r="K394" s="343"/>
      <c r="L394" s="343"/>
      <c r="M394" s="343"/>
      <c r="N394" s="343"/>
      <c r="O394" s="343"/>
      <c r="P394" s="343"/>
      <c r="Q394" s="343"/>
      <c r="R394" s="343"/>
      <c r="S394" s="343"/>
      <c r="T394" s="343"/>
      <c r="U394" s="343"/>
      <c r="V394" s="343"/>
      <c r="W394" s="343"/>
      <c r="X394" s="343"/>
      <c r="Y394" s="343"/>
      <c r="Z394" s="343"/>
      <c r="AA394" s="343"/>
      <c r="AB394" s="343"/>
    </row>
    <row r="395" spans="1:28">
      <c r="A395" s="417"/>
      <c r="B395" s="343"/>
      <c r="C395" s="343"/>
      <c r="D395" s="343"/>
      <c r="E395" s="343"/>
      <c r="F395" s="343"/>
      <c r="G395" s="343"/>
      <c r="H395" s="343"/>
      <c r="I395" s="343"/>
      <c r="J395" s="343"/>
      <c r="K395" s="343"/>
      <c r="L395" s="343"/>
      <c r="M395" s="343"/>
      <c r="N395" s="343"/>
      <c r="O395" s="343"/>
      <c r="P395" s="343"/>
      <c r="Q395" s="343"/>
      <c r="R395" s="343"/>
      <c r="S395" s="343"/>
      <c r="T395" s="343"/>
      <c r="U395" s="343"/>
      <c r="V395" s="343"/>
      <c r="W395" s="343"/>
      <c r="X395" s="343"/>
      <c r="Y395" s="343"/>
      <c r="Z395" s="343"/>
      <c r="AA395" s="343"/>
      <c r="AB395" s="343"/>
    </row>
    <row r="396" spans="1:28">
      <c r="A396" s="417"/>
      <c r="B396" s="343"/>
      <c r="C396" s="343"/>
      <c r="D396" s="343"/>
      <c r="E396" s="343"/>
      <c r="F396" s="343"/>
      <c r="G396" s="343"/>
      <c r="H396" s="343"/>
      <c r="I396" s="343"/>
      <c r="J396" s="343"/>
      <c r="K396" s="343"/>
      <c r="L396" s="343"/>
      <c r="M396" s="343"/>
      <c r="N396" s="343"/>
      <c r="O396" s="343"/>
      <c r="P396" s="343"/>
      <c r="Q396" s="343"/>
      <c r="R396" s="343"/>
      <c r="S396" s="343"/>
      <c r="T396" s="343"/>
      <c r="U396" s="343"/>
      <c r="V396" s="343"/>
      <c r="W396" s="343"/>
      <c r="X396" s="343"/>
      <c r="Y396" s="343"/>
      <c r="Z396" s="343"/>
      <c r="AA396" s="343"/>
      <c r="AB396" s="343"/>
    </row>
    <row r="397" spans="1:28">
      <c r="A397" s="417"/>
      <c r="B397" s="343"/>
      <c r="C397" s="343"/>
      <c r="D397" s="343"/>
      <c r="E397" s="343"/>
      <c r="F397" s="343"/>
      <c r="G397" s="343"/>
      <c r="H397" s="343"/>
      <c r="I397" s="343"/>
      <c r="J397" s="343"/>
      <c r="K397" s="343"/>
      <c r="L397" s="343"/>
      <c r="M397" s="343"/>
      <c r="N397" s="343"/>
      <c r="O397" s="343"/>
      <c r="P397" s="343"/>
      <c r="Q397" s="343"/>
      <c r="R397" s="343"/>
      <c r="S397" s="343"/>
      <c r="T397" s="343"/>
      <c r="U397" s="343"/>
      <c r="V397" s="343"/>
      <c r="W397" s="343"/>
      <c r="X397" s="343"/>
      <c r="Y397" s="343"/>
      <c r="Z397" s="343"/>
      <c r="AA397" s="343"/>
      <c r="AB397" s="343"/>
    </row>
    <row r="398" spans="1:28">
      <c r="A398" s="418"/>
      <c r="B398" s="419"/>
      <c r="C398" s="419"/>
      <c r="D398" s="419"/>
      <c r="E398" s="419"/>
      <c r="F398" s="419"/>
      <c r="G398" s="419"/>
      <c r="H398" s="419"/>
      <c r="I398" s="419"/>
      <c r="J398" s="419"/>
      <c r="K398" s="419"/>
      <c r="L398" s="419"/>
      <c r="M398" s="419"/>
      <c r="N398" s="419"/>
      <c r="O398" s="419"/>
      <c r="P398" s="419"/>
      <c r="Q398" s="419"/>
      <c r="R398" s="419"/>
      <c r="S398" s="419"/>
      <c r="T398" s="419"/>
      <c r="U398" s="419"/>
      <c r="V398" s="419"/>
      <c r="W398" s="419"/>
      <c r="X398" s="419"/>
      <c r="Y398" s="419"/>
      <c r="Z398" s="419"/>
      <c r="AA398" s="419"/>
      <c r="AB398" s="419"/>
    </row>
    <row r="399" spans="1:28">
      <c r="A399" s="420"/>
      <c r="B399" s="283"/>
      <c r="C399" s="283"/>
      <c r="D399" s="283"/>
      <c r="E399" s="283"/>
      <c r="F399" s="283"/>
      <c r="G399" s="283"/>
      <c r="H399" s="283"/>
      <c r="I399" s="283"/>
      <c r="J399" s="283"/>
      <c r="K399" s="283"/>
      <c r="L399" s="283"/>
      <c r="M399" s="283"/>
      <c r="N399" s="283"/>
      <c r="O399" s="283"/>
      <c r="P399" s="283"/>
      <c r="Q399" s="283"/>
      <c r="R399" s="283"/>
      <c r="S399" s="283"/>
      <c r="T399" s="283"/>
      <c r="U399" s="283"/>
      <c r="V399" s="283"/>
      <c r="W399" s="283"/>
      <c r="X399" s="283"/>
      <c r="Y399" s="283"/>
      <c r="Z399" s="283"/>
      <c r="AA399" s="283"/>
    </row>
    <row r="400" spans="1:28">
      <c r="A400" s="420"/>
      <c r="B400" s="283"/>
      <c r="C400" s="283"/>
      <c r="D400" s="283"/>
      <c r="E400" s="283"/>
      <c r="F400" s="283"/>
      <c r="G400" s="283"/>
      <c r="H400" s="283"/>
      <c r="I400" s="283"/>
      <c r="J400" s="283"/>
      <c r="K400" s="283"/>
      <c r="L400" s="283"/>
      <c r="M400" s="283"/>
      <c r="N400" s="283"/>
      <c r="O400" s="283"/>
      <c r="P400" s="283"/>
      <c r="Q400" s="283"/>
      <c r="R400" s="283"/>
      <c r="S400" s="283"/>
      <c r="T400" s="283"/>
      <c r="U400" s="283"/>
      <c r="V400" s="283"/>
      <c r="W400" s="283"/>
      <c r="X400" s="283"/>
      <c r="Y400" s="283"/>
      <c r="Z400" s="283"/>
      <c r="AA400" s="283"/>
    </row>
    <row r="401" spans="1:27">
      <c r="A401" s="420"/>
      <c r="B401" s="283"/>
      <c r="C401" s="283"/>
      <c r="D401" s="283"/>
      <c r="E401" s="283"/>
      <c r="F401" s="283"/>
      <c r="G401" s="283"/>
      <c r="H401" s="283"/>
      <c r="I401" s="283"/>
      <c r="J401" s="283"/>
      <c r="K401" s="283"/>
      <c r="L401" s="283"/>
      <c r="M401" s="283"/>
      <c r="N401" s="283"/>
      <c r="O401" s="283"/>
      <c r="P401" s="283"/>
      <c r="Q401" s="283"/>
      <c r="R401" s="283"/>
      <c r="S401" s="283"/>
      <c r="T401" s="283"/>
      <c r="U401" s="283"/>
      <c r="V401" s="283"/>
      <c r="W401" s="283"/>
      <c r="X401" s="283"/>
      <c r="Y401" s="283"/>
      <c r="Z401" s="283"/>
      <c r="AA401" s="283"/>
    </row>
    <row r="402" spans="1:27">
      <c r="A402" s="420"/>
      <c r="B402" s="283"/>
      <c r="C402" s="283"/>
      <c r="D402" s="283"/>
      <c r="E402" s="283"/>
      <c r="F402" s="283"/>
      <c r="G402" s="283"/>
      <c r="H402" s="283"/>
      <c r="I402" s="283"/>
      <c r="J402" s="283"/>
      <c r="K402" s="283"/>
      <c r="L402" s="283"/>
      <c r="M402" s="283"/>
      <c r="N402" s="283"/>
      <c r="O402" s="283"/>
      <c r="P402" s="283"/>
      <c r="Q402" s="283"/>
      <c r="R402" s="283"/>
      <c r="S402" s="283"/>
      <c r="T402" s="283"/>
      <c r="U402" s="283"/>
      <c r="V402" s="283"/>
      <c r="W402" s="283"/>
      <c r="X402" s="283"/>
      <c r="Y402" s="283"/>
      <c r="Z402" s="283"/>
      <c r="AA402" s="283"/>
    </row>
    <row r="403" spans="1:27">
      <c r="A403" s="420"/>
      <c r="B403" s="283"/>
      <c r="C403" s="283"/>
      <c r="D403" s="283"/>
      <c r="E403" s="283"/>
      <c r="F403" s="283"/>
      <c r="G403" s="283"/>
      <c r="H403" s="283"/>
      <c r="I403" s="283"/>
      <c r="J403" s="283"/>
      <c r="K403" s="283"/>
      <c r="L403" s="283"/>
      <c r="M403" s="283"/>
      <c r="N403" s="283"/>
      <c r="O403" s="283"/>
      <c r="P403" s="283"/>
      <c r="Q403" s="283"/>
      <c r="R403" s="283"/>
      <c r="S403" s="283"/>
      <c r="T403" s="283"/>
      <c r="U403" s="283"/>
      <c r="V403" s="283"/>
      <c r="W403" s="283"/>
      <c r="X403" s="283"/>
      <c r="Y403" s="283"/>
      <c r="Z403" s="283"/>
      <c r="AA403" s="283"/>
    </row>
    <row r="404" spans="1:27">
      <c r="A404" s="420"/>
      <c r="B404" s="283"/>
      <c r="C404" s="283"/>
      <c r="D404" s="283"/>
      <c r="E404" s="283"/>
      <c r="F404" s="283"/>
      <c r="G404" s="283"/>
      <c r="H404" s="283"/>
      <c r="I404" s="283"/>
      <c r="J404" s="283"/>
      <c r="K404" s="283"/>
      <c r="L404" s="283"/>
      <c r="M404" s="283"/>
      <c r="N404" s="283"/>
      <c r="O404" s="283"/>
      <c r="P404" s="283"/>
      <c r="Q404" s="283"/>
      <c r="R404" s="283"/>
      <c r="S404" s="283"/>
      <c r="T404" s="283"/>
      <c r="U404" s="283"/>
      <c r="V404" s="283"/>
      <c r="W404" s="283"/>
      <c r="X404" s="283"/>
      <c r="Y404" s="283"/>
      <c r="Z404" s="283"/>
      <c r="AA404" s="283"/>
    </row>
    <row r="405" spans="1:27">
      <c r="A405" s="420"/>
      <c r="B405" s="283"/>
      <c r="C405" s="283"/>
      <c r="D405" s="283"/>
      <c r="E405" s="283"/>
      <c r="F405" s="283"/>
      <c r="G405" s="283"/>
      <c r="H405" s="283"/>
      <c r="I405" s="283"/>
      <c r="J405" s="283"/>
      <c r="K405" s="283"/>
      <c r="L405" s="283"/>
      <c r="M405" s="283"/>
      <c r="N405" s="283"/>
      <c r="O405" s="283"/>
      <c r="P405" s="283"/>
      <c r="Q405" s="283"/>
      <c r="R405" s="283"/>
      <c r="S405" s="283"/>
      <c r="T405" s="283"/>
      <c r="U405" s="283"/>
      <c r="V405" s="283"/>
      <c r="W405" s="283"/>
      <c r="X405" s="283"/>
      <c r="Y405" s="283"/>
      <c r="Z405" s="283"/>
      <c r="AA405" s="283"/>
    </row>
    <row r="406" spans="1:27">
      <c r="A406" s="420"/>
      <c r="B406" s="283"/>
      <c r="C406" s="283"/>
      <c r="D406" s="283"/>
      <c r="E406" s="283"/>
      <c r="F406" s="283"/>
      <c r="G406" s="283"/>
      <c r="H406" s="283"/>
      <c r="I406" s="283"/>
      <c r="J406" s="283"/>
      <c r="K406" s="283"/>
      <c r="L406" s="283"/>
      <c r="M406" s="283"/>
      <c r="N406" s="283"/>
      <c r="O406" s="283"/>
      <c r="P406" s="283"/>
      <c r="Q406" s="283"/>
      <c r="R406" s="283"/>
      <c r="S406" s="283"/>
      <c r="T406" s="283"/>
      <c r="U406" s="283"/>
      <c r="V406" s="283"/>
      <c r="W406" s="283"/>
      <c r="X406" s="283"/>
      <c r="Y406" s="283"/>
      <c r="Z406" s="283"/>
      <c r="AA406" s="283"/>
    </row>
    <row r="407" spans="1:27">
      <c r="A407" s="420"/>
      <c r="B407" s="283"/>
      <c r="C407" s="283"/>
      <c r="D407" s="283"/>
      <c r="E407" s="283"/>
      <c r="F407" s="283"/>
      <c r="G407" s="283"/>
      <c r="H407" s="283"/>
      <c r="I407" s="283"/>
      <c r="J407" s="283"/>
      <c r="K407" s="283"/>
      <c r="L407" s="283"/>
      <c r="M407" s="283"/>
      <c r="N407" s="283"/>
      <c r="O407" s="283"/>
      <c r="P407" s="283"/>
      <c r="Q407" s="283"/>
      <c r="R407" s="283"/>
      <c r="S407" s="283"/>
      <c r="T407" s="283"/>
      <c r="U407" s="283"/>
      <c r="V407" s="283"/>
      <c r="W407" s="283"/>
      <c r="X407" s="283"/>
      <c r="Y407" s="283"/>
      <c r="Z407" s="283"/>
      <c r="AA407" s="283"/>
    </row>
    <row r="408" spans="1:27">
      <c r="A408" s="420"/>
      <c r="B408" s="283"/>
      <c r="C408" s="283"/>
      <c r="D408" s="283"/>
      <c r="E408" s="283"/>
      <c r="F408" s="283"/>
      <c r="G408" s="283"/>
      <c r="H408" s="283"/>
      <c r="I408" s="283"/>
      <c r="J408" s="283"/>
      <c r="K408" s="283"/>
      <c r="L408" s="283"/>
      <c r="M408" s="283"/>
      <c r="N408" s="283"/>
      <c r="O408" s="283"/>
      <c r="P408" s="283"/>
      <c r="Q408" s="283"/>
      <c r="R408" s="283"/>
      <c r="S408" s="283"/>
      <c r="T408" s="283"/>
      <c r="U408" s="283"/>
      <c r="V408" s="283"/>
      <c r="W408" s="283"/>
      <c r="X408" s="283"/>
      <c r="Y408" s="283"/>
      <c r="Z408" s="283"/>
      <c r="AA408" s="283"/>
    </row>
    <row r="409" spans="1:27">
      <c r="A409" s="420"/>
      <c r="B409" s="283"/>
      <c r="C409" s="283"/>
      <c r="D409" s="283"/>
      <c r="E409" s="283"/>
      <c r="F409" s="283"/>
      <c r="G409" s="283"/>
      <c r="H409" s="283"/>
      <c r="I409" s="283"/>
      <c r="J409" s="283"/>
      <c r="K409" s="283"/>
      <c r="L409" s="283"/>
      <c r="M409" s="283"/>
      <c r="N409" s="283"/>
      <c r="O409" s="283"/>
      <c r="P409" s="283"/>
      <c r="Q409" s="283"/>
      <c r="R409" s="283"/>
      <c r="S409" s="283"/>
      <c r="T409" s="283"/>
      <c r="U409" s="283"/>
      <c r="V409" s="283"/>
      <c r="W409" s="283"/>
      <c r="X409" s="283"/>
      <c r="Y409" s="283"/>
      <c r="Z409" s="283"/>
      <c r="AA409" s="283"/>
    </row>
    <row r="410" spans="1:27">
      <c r="A410" s="420"/>
      <c r="B410" s="283"/>
      <c r="C410" s="283"/>
      <c r="D410" s="283"/>
      <c r="E410" s="283"/>
      <c r="F410" s="283"/>
      <c r="G410" s="283"/>
      <c r="H410" s="283"/>
      <c r="I410" s="283"/>
      <c r="J410" s="283"/>
      <c r="K410" s="283"/>
      <c r="L410" s="283"/>
      <c r="M410" s="283"/>
      <c r="N410" s="283"/>
      <c r="O410" s="283"/>
      <c r="P410" s="283"/>
      <c r="Q410" s="283"/>
      <c r="R410" s="283"/>
      <c r="S410" s="283"/>
      <c r="T410" s="283"/>
      <c r="U410" s="283"/>
      <c r="V410" s="283"/>
      <c r="W410" s="283"/>
      <c r="X410" s="283"/>
      <c r="Y410" s="283"/>
      <c r="Z410" s="283"/>
      <c r="AA410" s="283"/>
    </row>
    <row r="411" spans="1:27">
      <c r="A411" s="420"/>
      <c r="B411" s="283"/>
      <c r="C411" s="283"/>
      <c r="D411" s="283"/>
      <c r="E411" s="283"/>
      <c r="F411" s="283"/>
      <c r="G411" s="283"/>
      <c r="H411" s="283"/>
      <c r="I411" s="283"/>
      <c r="J411" s="283"/>
      <c r="K411" s="283"/>
      <c r="L411" s="283"/>
      <c r="M411" s="283"/>
      <c r="N411" s="283"/>
      <c r="O411" s="283"/>
      <c r="P411" s="283"/>
      <c r="Q411" s="283"/>
      <c r="R411" s="283"/>
      <c r="S411" s="283"/>
      <c r="T411" s="283"/>
      <c r="U411" s="283"/>
      <c r="V411" s="283"/>
      <c r="W411" s="283"/>
      <c r="X411" s="283"/>
      <c r="Y411" s="283"/>
      <c r="Z411" s="283"/>
      <c r="AA411" s="283"/>
    </row>
    <row r="412" spans="1:27">
      <c r="A412" s="420"/>
      <c r="B412" s="283"/>
      <c r="C412" s="283"/>
      <c r="D412" s="283"/>
      <c r="E412" s="283"/>
      <c r="F412" s="283"/>
      <c r="G412" s="283"/>
      <c r="H412" s="283"/>
      <c r="I412" s="283"/>
      <c r="J412" s="283"/>
      <c r="K412" s="283"/>
      <c r="L412" s="283"/>
      <c r="M412" s="283"/>
      <c r="N412" s="283"/>
      <c r="O412" s="283"/>
      <c r="P412" s="283"/>
      <c r="Q412" s="283"/>
      <c r="R412" s="283"/>
      <c r="S412" s="283"/>
      <c r="T412" s="283"/>
      <c r="U412" s="283"/>
      <c r="V412" s="283"/>
      <c r="W412" s="283"/>
      <c r="X412" s="283"/>
      <c r="Y412" s="283"/>
      <c r="Z412" s="283"/>
      <c r="AA412" s="283"/>
    </row>
    <row r="413" spans="1:27">
      <c r="A413" s="420"/>
      <c r="B413" s="283"/>
      <c r="C413" s="283"/>
      <c r="D413" s="283"/>
      <c r="E413" s="283"/>
      <c r="F413" s="283"/>
      <c r="G413" s="283"/>
      <c r="H413" s="283"/>
      <c r="I413" s="283"/>
      <c r="J413" s="283"/>
      <c r="K413" s="283"/>
      <c r="L413" s="283"/>
      <c r="M413" s="283"/>
      <c r="N413" s="283"/>
      <c r="O413" s="283"/>
      <c r="P413" s="283"/>
      <c r="Q413" s="283"/>
      <c r="R413" s="283"/>
      <c r="S413" s="283"/>
      <c r="T413" s="283"/>
      <c r="U413" s="283"/>
      <c r="V413" s="283"/>
      <c r="W413" s="283"/>
      <c r="X413" s="283"/>
      <c r="Y413" s="283"/>
      <c r="Z413" s="283"/>
      <c r="AA413" s="283"/>
    </row>
    <row r="414" spans="1:27">
      <c r="A414" s="420"/>
      <c r="B414" s="283"/>
      <c r="C414" s="283"/>
      <c r="D414" s="283"/>
      <c r="E414" s="283"/>
      <c r="F414" s="283"/>
      <c r="G414" s="283"/>
      <c r="H414" s="283"/>
      <c r="I414" s="283"/>
      <c r="J414" s="283"/>
      <c r="K414" s="283"/>
      <c r="L414" s="283"/>
      <c r="M414" s="283"/>
      <c r="N414" s="283"/>
      <c r="O414" s="283"/>
      <c r="P414" s="283"/>
      <c r="Q414" s="283"/>
      <c r="R414" s="283"/>
      <c r="S414" s="283"/>
      <c r="T414" s="283"/>
      <c r="U414" s="283"/>
      <c r="V414" s="283"/>
      <c r="W414" s="283"/>
      <c r="X414" s="283"/>
      <c r="Y414" s="283"/>
      <c r="Z414" s="283"/>
      <c r="AA414" s="283"/>
    </row>
    <row r="415" spans="1:27">
      <c r="A415" s="420"/>
      <c r="B415" s="283"/>
      <c r="C415" s="283"/>
      <c r="D415" s="283"/>
      <c r="E415" s="283"/>
      <c r="F415" s="283"/>
      <c r="G415" s="283"/>
      <c r="H415" s="283"/>
      <c r="I415" s="283"/>
      <c r="J415" s="283"/>
      <c r="K415" s="283"/>
      <c r="L415" s="283"/>
      <c r="M415" s="283"/>
      <c r="N415" s="283"/>
      <c r="O415" s="283"/>
      <c r="P415" s="283"/>
      <c r="Q415" s="283"/>
      <c r="R415" s="283"/>
      <c r="S415" s="283"/>
      <c r="T415" s="283"/>
      <c r="U415" s="283"/>
      <c r="V415" s="283"/>
      <c r="W415" s="283"/>
      <c r="X415" s="283"/>
      <c r="Y415" s="283"/>
      <c r="Z415" s="283"/>
      <c r="AA415" s="283"/>
    </row>
    <row r="416" spans="1:27">
      <c r="A416" s="420"/>
      <c r="B416" s="283"/>
      <c r="C416" s="283"/>
      <c r="D416" s="283"/>
      <c r="E416" s="283"/>
      <c r="F416" s="283"/>
      <c r="G416" s="283"/>
      <c r="H416" s="283"/>
      <c r="I416" s="283"/>
      <c r="J416" s="283"/>
      <c r="K416" s="283"/>
      <c r="L416" s="283"/>
      <c r="M416" s="283"/>
      <c r="N416" s="283"/>
      <c r="O416" s="283"/>
      <c r="P416" s="283"/>
      <c r="Q416" s="283"/>
      <c r="R416" s="283"/>
      <c r="S416" s="283"/>
      <c r="T416" s="283"/>
      <c r="U416" s="283"/>
      <c r="V416" s="283"/>
      <c r="W416" s="283"/>
      <c r="X416" s="283"/>
      <c r="Y416" s="283"/>
      <c r="Z416" s="283"/>
      <c r="AA416" s="283"/>
    </row>
    <row r="417" spans="1:27">
      <c r="A417" s="420"/>
      <c r="B417" s="283"/>
      <c r="C417" s="283"/>
      <c r="D417" s="283"/>
      <c r="E417" s="283"/>
      <c r="F417" s="283"/>
      <c r="G417" s="283"/>
      <c r="H417" s="283"/>
      <c r="I417" s="283"/>
      <c r="J417" s="283"/>
      <c r="K417" s="283"/>
      <c r="L417" s="283"/>
      <c r="M417" s="283"/>
      <c r="N417" s="283"/>
      <c r="O417" s="283"/>
      <c r="P417" s="283"/>
      <c r="Q417" s="283"/>
      <c r="R417" s="283"/>
      <c r="S417" s="283"/>
      <c r="T417" s="283"/>
      <c r="U417" s="283"/>
      <c r="V417" s="283"/>
      <c r="W417" s="283"/>
      <c r="X417" s="283"/>
      <c r="Y417" s="283"/>
      <c r="Z417" s="283"/>
      <c r="AA417" s="283"/>
    </row>
    <row r="418" spans="1:27">
      <c r="A418" s="420"/>
      <c r="B418" s="283"/>
      <c r="C418" s="283"/>
      <c r="D418" s="283"/>
      <c r="E418" s="283"/>
      <c r="F418" s="283"/>
      <c r="G418" s="283"/>
      <c r="H418" s="283"/>
      <c r="I418" s="283"/>
      <c r="J418" s="283"/>
      <c r="K418" s="283"/>
      <c r="L418" s="283"/>
      <c r="M418" s="283"/>
      <c r="N418" s="283"/>
      <c r="O418" s="283"/>
      <c r="P418" s="283"/>
      <c r="Q418" s="283"/>
      <c r="R418" s="283"/>
      <c r="S418" s="283"/>
      <c r="T418" s="283"/>
      <c r="U418" s="283"/>
      <c r="V418" s="283"/>
      <c r="W418" s="283"/>
      <c r="X418" s="283"/>
      <c r="Y418" s="283"/>
      <c r="Z418" s="283"/>
      <c r="AA418" s="283"/>
    </row>
    <row r="419" spans="1:27">
      <c r="A419" s="420"/>
      <c r="B419" s="283"/>
      <c r="C419" s="283"/>
      <c r="D419" s="283"/>
      <c r="E419" s="283"/>
      <c r="F419" s="283"/>
      <c r="G419" s="283"/>
      <c r="H419" s="283"/>
      <c r="I419" s="283"/>
      <c r="J419" s="283"/>
      <c r="K419" s="283"/>
      <c r="L419" s="283"/>
      <c r="M419" s="283"/>
      <c r="N419" s="283"/>
      <c r="O419" s="283"/>
      <c r="P419" s="283"/>
      <c r="Q419" s="283"/>
      <c r="R419" s="283"/>
      <c r="S419" s="283"/>
      <c r="T419" s="283"/>
      <c r="U419" s="283"/>
      <c r="V419" s="283"/>
      <c r="W419" s="283"/>
      <c r="X419" s="283"/>
      <c r="Y419" s="283"/>
      <c r="Z419" s="283"/>
      <c r="AA419" s="283"/>
    </row>
    <row r="420" spans="1:27">
      <c r="A420" s="420"/>
      <c r="B420" s="283"/>
      <c r="C420" s="283"/>
      <c r="D420" s="283"/>
      <c r="E420" s="283"/>
      <c r="F420" s="283"/>
      <c r="G420" s="283"/>
      <c r="H420" s="283"/>
      <c r="I420" s="283"/>
      <c r="J420" s="283"/>
      <c r="K420" s="283"/>
      <c r="L420" s="283"/>
      <c r="M420" s="283"/>
      <c r="N420" s="283"/>
      <c r="O420" s="283"/>
      <c r="P420" s="283"/>
      <c r="Q420" s="283"/>
      <c r="R420" s="283"/>
      <c r="S420" s="283"/>
      <c r="T420" s="283"/>
      <c r="U420" s="283"/>
      <c r="V420" s="283"/>
      <c r="W420" s="283"/>
      <c r="X420" s="283"/>
      <c r="Y420" s="283"/>
      <c r="Z420" s="283"/>
      <c r="AA420" s="283"/>
    </row>
    <row r="421" spans="1:27">
      <c r="A421" s="420"/>
      <c r="B421" s="283"/>
      <c r="C421" s="283"/>
      <c r="D421" s="283"/>
      <c r="E421" s="283"/>
      <c r="F421" s="283"/>
      <c r="G421" s="283"/>
      <c r="H421" s="283"/>
      <c r="I421" s="283"/>
      <c r="J421" s="283"/>
      <c r="K421" s="283"/>
      <c r="L421" s="283"/>
      <c r="M421" s="283"/>
      <c r="N421" s="283"/>
      <c r="O421" s="283"/>
      <c r="P421" s="283"/>
      <c r="Q421" s="283"/>
      <c r="R421" s="283"/>
      <c r="S421" s="283"/>
      <c r="T421" s="283"/>
      <c r="U421" s="283"/>
      <c r="V421" s="283"/>
      <c r="W421" s="283"/>
      <c r="X421" s="283"/>
      <c r="Y421" s="283"/>
      <c r="Z421" s="283"/>
      <c r="AA421" s="283"/>
    </row>
    <row r="422" spans="1:27">
      <c r="A422" s="420"/>
      <c r="B422" s="283"/>
      <c r="C422" s="283"/>
      <c r="D422" s="283"/>
      <c r="E422" s="283"/>
      <c r="F422" s="283"/>
      <c r="G422" s="283"/>
      <c r="H422" s="283"/>
      <c r="I422" s="283"/>
      <c r="J422" s="283"/>
      <c r="K422" s="283"/>
      <c r="L422" s="283"/>
      <c r="M422" s="283"/>
      <c r="N422" s="283"/>
      <c r="O422" s="283"/>
      <c r="P422" s="283"/>
      <c r="Q422" s="283"/>
      <c r="R422" s="283"/>
      <c r="S422" s="283"/>
      <c r="T422" s="283"/>
      <c r="U422" s="283"/>
      <c r="V422" s="283"/>
      <c r="W422" s="283"/>
      <c r="X422" s="283"/>
      <c r="Y422" s="283"/>
      <c r="Z422" s="283"/>
      <c r="AA422" s="283"/>
    </row>
    <row r="423" spans="1:27">
      <c r="A423" s="420"/>
      <c r="B423" s="283"/>
      <c r="C423" s="283"/>
      <c r="D423" s="283"/>
      <c r="E423" s="283"/>
      <c r="F423" s="283"/>
      <c r="G423" s="283"/>
      <c r="H423" s="283"/>
      <c r="I423" s="283"/>
      <c r="J423" s="283"/>
      <c r="K423" s="283"/>
      <c r="L423" s="283"/>
      <c r="M423" s="283"/>
      <c r="N423" s="283"/>
      <c r="O423" s="283"/>
      <c r="P423" s="283"/>
      <c r="Q423" s="283"/>
      <c r="R423" s="283"/>
      <c r="S423" s="283"/>
      <c r="T423" s="283"/>
      <c r="U423" s="283"/>
      <c r="V423" s="283"/>
      <c r="W423" s="283"/>
      <c r="X423" s="283"/>
      <c r="Y423" s="283"/>
      <c r="Z423" s="283"/>
      <c r="AA423" s="283"/>
    </row>
    <row r="424" spans="1:27">
      <c r="A424" s="420"/>
      <c r="B424" s="283"/>
      <c r="C424" s="283"/>
      <c r="D424" s="283"/>
      <c r="E424" s="283"/>
      <c r="F424" s="283"/>
      <c r="G424" s="283"/>
      <c r="H424" s="283"/>
      <c r="I424" s="283"/>
      <c r="J424" s="283"/>
      <c r="K424" s="283"/>
      <c r="L424" s="283"/>
      <c r="M424" s="283"/>
      <c r="N424" s="283"/>
      <c r="O424" s="283"/>
      <c r="P424" s="283"/>
      <c r="Q424" s="283"/>
      <c r="R424" s="283"/>
      <c r="S424" s="283"/>
      <c r="T424" s="283"/>
      <c r="U424" s="283"/>
      <c r="V424" s="283"/>
      <c r="W424" s="283"/>
      <c r="X424" s="283"/>
      <c r="Y424" s="283"/>
      <c r="Z424" s="283"/>
      <c r="AA424" s="283"/>
    </row>
    <row r="425" spans="1:27">
      <c r="A425" s="420"/>
      <c r="B425" s="283"/>
      <c r="C425" s="283"/>
      <c r="D425" s="283"/>
      <c r="E425" s="283"/>
      <c r="F425" s="283"/>
      <c r="G425" s="283"/>
      <c r="H425" s="283"/>
      <c r="I425" s="283"/>
      <c r="J425" s="283"/>
      <c r="K425" s="283"/>
      <c r="L425" s="283"/>
      <c r="M425" s="283"/>
      <c r="N425" s="283"/>
      <c r="O425" s="283"/>
      <c r="P425" s="283"/>
      <c r="Q425" s="283"/>
      <c r="R425" s="283"/>
      <c r="S425" s="283"/>
      <c r="T425" s="283"/>
      <c r="U425" s="283"/>
      <c r="V425" s="283"/>
      <c r="W425" s="283"/>
      <c r="X425" s="283"/>
      <c r="Y425" s="283"/>
      <c r="Z425" s="283"/>
      <c r="AA425" s="283"/>
    </row>
    <row r="426" spans="1:27">
      <c r="A426" s="420"/>
      <c r="B426" s="283"/>
      <c r="C426" s="283"/>
      <c r="D426" s="283"/>
      <c r="E426" s="283"/>
      <c r="F426" s="283"/>
      <c r="G426" s="283"/>
      <c r="H426" s="283"/>
      <c r="I426" s="283"/>
      <c r="J426" s="283"/>
      <c r="K426" s="283"/>
      <c r="L426" s="283"/>
      <c r="M426" s="283"/>
      <c r="N426" s="283"/>
      <c r="O426" s="283"/>
      <c r="P426" s="283"/>
      <c r="Q426" s="283"/>
      <c r="R426" s="283"/>
      <c r="S426" s="283"/>
      <c r="T426" s="283"/>
      <c r="U426" s="283"/>
      <c r="V426" s="283"/>
      <c r="W426" s="283"/>
      <c r="X426" s="283"/>
      <c r="Y426" s="283"/>
      <c r="Z426" s="283"/>
      <c r="AA426" s="283"/>
    </row>
    <row r="427" spans="1:27">
      <c r="A427" s="420"/>
      <c r="B427" s="283"/>
      <c r="C427" s="283"/>
      <c r="D427" s="283"/>
      <c r="E427" s="283"/>
      <c r="F427" s="283"/>
      <c r="G427" s="283"/>
      <c r="H427" s="283"/>
      <c r="I427" s="283"/>
      <c r="J427" s="283"/>
      <c r="K427" s="283"/>
      <c r="L427" s="283"/>
      <c r="M427" s="283"/>
      <c r="N427" s="283"/>
      <c r="O427" s="283"/>
      <c r="P427" s="283"/>
      <c r="Q427" s="283"/>
      <c r="R427" s="283"/>
      <c r="S427" s="283"/>
      <c r="T427" s="283"/>
      <c r="U427" s="283"/>
      <c r="V427" s="283"/>
      <c r="W427" s="283"/>
      <c r="X427" s="283"/>
      <c r="Y427" s="283"/>
      <c r="Z427" s="283"/>
      <c r="AA427" s="283"/>
    </row>
    <row r="428" spans="1:27">
      <c r="A428" s="420"/>
      <c r="B428" s="283"/>
      <c r="C428" s="283"/>
      <c r="D428" s="283"/>
      <c r="E428" s="283"/>
      <c r="F428" s="283"/>
      <c r="G428" s="283"/>
      <c r="H428" s="283"/>
      <c r="I428" s="283"/>
      <c r="J428" s="283"/>
      <c r="K428" s="283"/>
      <c r="L428" s="283"/>
      <c r="M428" s="283"/>
      <c r="N428" s="283"/>
      <c r="O428" s="283"/>
      <c r="P428" s="283"/>
      <c r="Q428" s="283"/>
      <c r="R428" s="283"/>
      <c r="S428" s="283"/>
      <c r="T428" s="283"/>
      <c r="U428" s="283"/>
      <c r="V428" s="283"/>
      <c r="W428" s="283"/>
      <c r="X428" s="283"/>
      <c r="Y428" s="283"/>
      <c r="Z428" s="283"/>
      <c r="AA428" s="283"/>
    </row>
    <row r="429" spans="1:27">
      <c r="A429" s="420"/>
      <c r="B429" s="283"/>
      <c r="C429" s="283"/>
      <c r="D429" s="283"/>
      <c r="E429" s="283"/>
      <c r="F429" s="283"/>
      <c r="G429" s="283"/>
      <c r="H429" s="283"/>
      <c r="I429" s="283"/>
      <c r="J429" s="283"/>
      <c r="K429" s="283"/>
      <c r="L429" s="283"/>
      <c r="M429" s="283"/>
      <c r="N429" s="283"/>
      <c r="O429" s="283"/>
      <c r="P429" s="283"/>
      <c r="Q429" s="283"/>
      <c r="R429" s="283"/>
      <c r="S429" s="283"/>
      <c r="T429" s="283"/>
      <c r="U429" s="283"/>
      <c r="V429" s="283"/>
      <c r="W429" s="283"/>
      <c r="X429" s="283"/>
      <c r="Y429" s="283"/>
      <c r="Z429" s="283"/>
      <c r="AA429" s="283"/>
    </row>
    <row r="430" spans="1:27">
      <c r="A430" s="420"/>
      <c r="B430" s="283"/>
      <c r="C430" s="283"/>
      <c r="D430" s="283"/>
      <c r="E430" s="283"/>
      <c r="F430" s="283"/>
      <c r="G430" s="283"/>
      <c r="H430" s="283"/>
      <c r="I430" s="283"/>
      <c r="J430" s="283"/>
      <c r="K430" s="283"/>
      <c r="L430" s="283"/>
      <c r="M430" s="283"/>
      <c r="N430" s="283"/>
      <c r="O430" s="283"/>
      <c r="P430" s="283"/>
      <c r="Q430" s="283"/>
      <c r="R430" s="283"/>
      <c r="S430" s="283"/>
      <c r="T430" s="283"/>
      <c r="U430" s="283"/>
      <c r="V430" s="283"/>
      <c r="W430" s="283"/>
      <c r="X430" s="283"/>
      <c r="Y430" s="283"/>
      <c r="Z430" s="283"/>
      <c r="AA430" s="283"/>
    </row>
    <row r="431" spans="1:27">
      <c r="A431" s="420"/>
      <c r="B431" s="283"/>
      <c r="C431" s="283"/>
      <c r="D431" s="283"/>
      <c r="E431" s="283"/>
      <c r="F431" s="283"/>
      <c r="G431" s="283"/>
      <c r="H431" s="283"/>
      <c r="I431" s="283"/>
      <c r="J431" s="283"/>
      <c r="K431" s="283"/>
      <c r="L431" s="283"/>
      <c r="M431" s="283"/>
      <c r="N431" s="283"/>
      <c r="O431" s="283"/>
      <c r="P431" s="283"/>
      <c r="Q431" s="283"/>
      <c r="R431" s="283"/>
      <c r="S431" s="283"/>
      <c r="T431" s="283"/>
      <c r="U431" s="283"/>
      <c r="V431" s="283"/>
      <c r="W431" s="283"/>
      <c r="X431" s="283"/>
      <c r="Y431" s="283"/>
      <c r="Z431" s="283"/>
      <c r="AA431" s="283"/>
    </row>
    <row r="432" spans="1:27">
      <c r="A432" s="420"/>
      <c r="B432" s="283"/>
      <c r="C432" s="283"/>
      <c r="D432" s="283"/>
      <c r="E432" s="283"/>
      <c r="F432" s="283"/>
      <c r="G432" s="283"/>
      <c r="H432" s="283"/>
      <c r="I432" s="283"/>
      <c r="J432" s="283"/>
      <c r="K432" s="283"/>
      <c r="L432" s="283"/>
      <c r="M432" s="283"/>
      <c r="N432" s="283"/>
      <c r="O432" s="283"/>
      <c r="P432" s="283"/>
      <c r="Q432" s="283"/>
      <c r="R432" s="283"/>
      <c r="S432" s="283"/>
      <c r="T432" s="283"/>
      <c r="U432" s="283"/>
      <c r="V432" s="283"/>
      <c r="W432" s="283"/>
      <c r="X432" s="283"/>
      <c r="Y432" s="283"/>
      <c r="Z432" s="283"/>
      <c r="AA432" s="283"/>
    </row>
    <row r="433" spans="1:27">
      <c r="A433" s="420"/>
      <c r="B433" s="283"/>
      <c r="C433" s="283"/>
      <c r="D433" s="283"/>
      <c r="E433" s="283"/>
      <c r="F433" s="283"/>
      <c r="G433" s="283"/>
      <c r="H433" s="283"/>
      <c r="I433" s="283"/>
      <c r="J433" s="283"/>
      <c r="K433" s="283"/>
      <c r="L433" s="283"/>
      <c r="M433" s="283"/>
      <c r="N433" s="283"/>
      <c r="O433" s="283"/>
      <c r="P433" s="283"/>
      <c r="Q433" s="283"/>
      <c r="R433" s="283"/>
      <c r="S433" s="283"/>
      <c r="T433" s="283"/>
      <c r="U433" s="283"/>
      <c r="V433" s="283"/>
      <c r="W433" s="283"/>
      <c r="X433" s="283"/>
      <c r="Y433" s="283"/>
      <c r="Z433" s="283"/>
      <c r="AA433" s="283"/>
    </row>
    <row r="434" spans="1:27">
      <c r="A434" s="420"/>
      <c r="B434" s="283"/>
      <c r="C434" s="283"/>
      <c r="D434" s="283"/>
      <c r="E434" s="283"/>
      <c r="F434" s="283"/>
      <c r="G434" s="283"/>
      <c r="H434" s="283"/>
      <c r="I434" s="283"/>
      <c r="J434" s="283"/>
      <c r="K434" s="283"/>
      <c r="L434" s="283"/>
      <c r="M434" s="283"/>
      <c r="N434" s="283"/>
      <c r="O434" s="283"/>
      <c r="P434" s="283"/>
      <c r="Q434" s="283"/>
      <c r="R434" s="283"/>
      <c r="S434" s="283"/>
      <c r="T434" s="283"/>
      <c r="U434" s="283"/>
      <c r="V434" s="283"/>
      <c r="W434" s="283"/>
      <c r="X434" s="283"/>
      <c r="Y434" s="283"/>
      <c r="Z434" s="283"/>
      <c r="AA434" s="283"/>
    </row>
    <row r="435" spans="1:27">
      <c r="A435" s="420"/>
      <c r="B435" s="283"/>
      <c r="C435" s="283"/>
      <c r="D435" s="283"/>
      <c r="E435" s="283"/>
      <c r="F435" s="283"/>
      <c r="G435" s="283"/>
      <c r="H435" s="283"/>
      <c r="I435" s="283"/>
      <c r="J435" s="283"/>
      <c r="K435" s="283"/>
      <c r="L435" s="283"/>
      <c r="M435" s="283"/>
      <c r="N435" s="283"/>
      <c r="O435" s="283"/>
      <c r="P435" s="283"/>
      <c r="Q435" s="283"/>
      <c r="R435" s="283"/>
      <c r="S435" s="283"/>
      <c r="T435" s="283"/>
      <c r="U435" s="283"/>
      <c r="V435" s="283"/>
      <c r="W435" s="283"/>
      <c r="X435" s="283"/>
      <c r="Y435" s="283"/>
      <c r="Z435" s="283"/>
      <c r="AA435" s="283"/>
    </row>
    <row r="436" spans="1:27">
      <c r="A436" s="420"/>
      <c r="B436" s="283"/>
      <c r="C436" s="283"/>
      <c r="D436" s="283"/>
      <c r="E436" s="283"/>
      <c r="F436" s="283"/>
      <c r="G436" s="283"/>
      <c r="H436" s="283"/>
      <c r="I436" s="283"/>
      <c r="J436" s="283"/>
      <c r="K436" s="283"/>
      <c r="L436" s="283"/>
      <c r="M436" s="283"/>
      <c r="N436" s="283"/>
      <c r="O436" s="283"/>
      <c r="P436" s="283"/>
      <c r="Q436" s="283"/>
      <c r="R436" s="283"/>
      <c r="S436" s="283"/>
      <c r="T436" s="283"/>
      <c r="U436" s="283"/>
      <c r="V436" s="283"/>
      <c r="W436" s="283"/>
      <c r="X436" s="283"/>
      <c r="Y436" s="283"/>
      <c r="Z436" s="283"/>
      <c r="AA436" s="283"/>
    </row>
    <row r="437" spans="1:27">
      <c r="A437" s="420"/>
      <c r="B437" s="283"/>
      <c r="C437" s="283"/>
      <c r="D437" s="283"/>
      <c r="E437" s="283"/>
      <c r="F437" s="283"/>
      <c r="G437" s="283"/>
      <c r="H437" s="283"/>
      <c r="I437" s="283"/>
      <c r="J437" s="283"/>
      <c r="K437" s="283"/>
      <c r="L437" s="283"/>
      <c r="M437" s="283"/>
      <c r="N437" s="283"/>
      <c r="O437" s="283"/>
      <c r="P437" s="283"/>
      <c r="Q437" s="283"/>
      <c r="R437" s="283"/>
      <c r="S437" s="283"/>
      <c r="T437" s="283"/>
      <c r="U437" s="283"/>
      <c r="V437" s="283"/>
      <c r="W437" s="283"/>
      <c r="X437" s="283"/>
      <c r="Y437" s="283"/>
      <c r="Z437" s="283"/>
      <c r="AA437" s="283"/>
    </row>
    <row r="438" spans="1:27">
      <c r="A438" s="420"/>
      <c r="B438" s="283"/>
      <c r="C438" s="283"/>
      <c r="D438" s="283"/>
      <c r="E438" s="283"/>
      <c r="F438" s="283"/>
      <c r="G438" s="283"/>
      <c r="H438" s="283"/>
      <c r="I438" s="283"/>
      <c r="J438" s="283"/>
      <c r="K438" s="283"/>
      <c r="L438" s="283"/>
      <c r="M438" s="283"/>
      <c r="N438" s="283"/>
      <c r="O438" s="283"/>
      <c r="P438" s="283"/>
      <c r="Q438" s="283"/>
      <c r="R438" s="283"/>
      <c r="S438" s="283"/>
      <c r="T438" s="283"/>
      <c r="U438" s="283"/>
      <c r="V438" s="283"/>
      <c r="W438" s="283"/>
      <c r="X438" s="283"/>
      <c r="Y438" s="283"/>
      <c r="Z438" s="283"/>
      <c r="AA438" s="283"/>
    </row>
    <row r="439" spans="1:27">
      <c r="A439" s="420"/>
      <c r="B439" s="283"/>
      <c r="C439" s="283"/>
      <c r="D439" s="283"/>
      <c r="E439" s="283"/>
      <c r="F439" s="283"/>
      <c r="G439" s="283"/>
      <c r="H439" s="283"/>
      <c r="I439" s="283"/>
      <c r="J439" s="283"/>
      <c r="K439" s="283"/>
      <c r="L439" s="283"/>
      <c r="M439" s="283"/>
      <c r="N439" s="283"/>
      <c r="O439" s="283"/>
      <c r="P439" s="283"/>
      <c r="Q439" s="283"/>
      <c r="R439" s="283"/>
      <c r="S439" s="283"/>
      <c r="T439" s="283"/>
      <c r="U439" s="283"/>
      <c r="V439" s="283"/>
      <c r="W439" s="283"/>
      <c r="X439" s="283"/>
      <c r="Y439" s="283"/>
      <c r="Z439" s="283"/>
      <c r="AA439" s="283"/>
    </row>
    <row r="440" spans="1:27">
      <c r="A440" s="420"/>
      <c r="B440" s="283"/>
      <c r="C440" s="283"/>
      <c r="D440" s="283"/>
      <c r="E440" s="283"/>
      <c r="F440" s="283"/>
      <c r="G440" s="283"/>
      <c r="H440" s="283"/>
      <c r="I440" s="283"/>
      <c r="J440" s="283"/>
      <c r="K440" s="283"/>
      <c r="L440" s="283"/>
      <c r="M440" s="283"/>
      <c r="N440" s="283"/>
      <c r="O440" s="283"/>
      <c r="P440" s="283"/>
      <c r="Q440" s="283"/>
      <c r="R440" s="283"/>
      <c r="S440" s="283"/>
      <c r="T440" s="283"/>
      <c r="U440" s="283"/>
      <c r="V440" s="283"/>
      <c r="W440" s="283"/>
      <c r="X440" s="283"/>
      <c r="Y440" s="283"/>
      <c r="Z440" s="283"/>
      <c r="AA440" s="283"/>
    </row>
    <row r="441" spans="1:27">
      <c r="A441" s="420"/>
      <c r="B441" s="283"/>
      <c r="C441" s="283"/>
      <c r="D441" s="283"/>
      <c r="E441" s="283"/>
      <c r="F441" s="283"/>
      <c r="G441" s="283"/>
      <c r="H441" s="283"/>
      <c r="I441" s="283"/>
      <c r="J441" s="283"/>
      <c r="K441" s="283"/>
      <c r="L441" s="283"/>
      <c r="M441" s="283"/>
      <c r="N441" s="283"/>
      <c r="O441" s="283"/>
      <c r="P441" s="283"/>
      <c r="Q441" s="283"/>
      <c r="R441" s="283"/>
      <c r="S441" s="283"/>
      <c r="T441" s="283"/>
      <c r="U441" s="283"/>
      <c r="V441" s="283"/>
      <c r="W441" s="283"/>
      <c r="X441" s="283"/>
      <c r="Y441" s="283"/>
      <c r="Z441" s="283"/>
      <c r="AA441" s="283"/>
    </row>
    <row r="442" spans="1:27">
      <c r="A442" s="420"/>
      <c r="B442" s="283"/>
      <c r="C442" s="283"/>
      <c r="D442" s="283"/>
      <c r="E442" s="283"/>
      <c r="F442" s="283"/>
      <c r="G442" s="283"/>
      <c r="H442" s="283"/>
      <c r="I442" s="283"/>
      <c r="J442" s="283"/>
      <c r="K442" s="283"/>
      <c r="L442" s="283"/>
      <c r="M442" s="283"/>
      <c r="N442" s="283"/>
      <c r="O442" s="283"/>
      <c r="P442" s="283"/>
      <c r="Q442" s="283"/>
      <c r="R442" s="283"/>
      <c r="S442" s="283"/>
      <c r="T442" s="283"/>
      <c r="U442" s="283"/>
      <c r="V442" s="283"/>
      <c r="W442" s="283"/>
      <c r="X442" s="283"/>
      <c r="Y442" s="283"/>
      <c r="Z442" s="283"/>
      <c r="AA442" s="283"/>
    </row>
    <row r="443" spans="1:27">
      <c r="A443" s="420"/>
      <c r="B443" s="283"/>
      <c r="C443" s="283"/>
      <c r="D443" s="283"/>
      <c r="E443" s="283"/>
      <c r="F443" s="283"/>
      <c r="G443" s="283"/>
      <c r="H443" s="283"/>
      <c r="I443" s="283"/>
      <c r="J443" s="283"/>
      <c r="K443" s="283"/>
      <c r="L443" s="283"/>
      <c r="M443" s="283"/>
      <c r="N443" s="283"/>
      <c r="O443" s="283"/>
      <c r="P443" s="283"/>
      <c r="Q443" s="283"/>
      <c r="R443" s="283"/>
      <c r="S443" s="283"/>
      <c r="T443" s="283"/>
      <c r="U443" s="283"/>
      <c r="V443" s="283"/>
      <c r="W443" s="283"/>
      <c r="X443" s="283"/>
      <c r="Y443" s="283"/>
      <c r="Z443" s="283"/>
      <c r="AA443" s="283"/>
    </row>
    <row r="444" spans="1:27">
      <c r="A444" s="420"/>
      <c r="B444" s="283"/>
      <c r="C444" s="283"/>
      <c r="D444" s="283"/>
      <c r="E444" s="283"/>
      <c r="F444" s="283"/>
      <c r="G444" s="283"/>
      <c r="H444" s="283"/>
      <c r="I444" s="283"/>
      <c r="J444" s="283"/>
      <c r="K444" s="283"/>
      <c r="L444" s="283"/>
      <c r="M444" s="283"/>
      <c r="N444" s="283"/>
      <c r="O444" s="283"/>
      <c r="P444" s="283"/>
      <c r="Q444" s="283"/>
      <c r="R444" s="283"/>
      <c r="S444" s="283"/>
      <c r="T444" s="283"/>
      <c r="U444" s="283"/>
      <c r="V444" s="283"/>
      <c r="W444" s="283"/>
      <c r="X444" s="283"/>
      <c r="Y444" s="283"/>
      <c r="Z444" s="283"/>
      <c r="AA444" s="283"/>
    </row>
    <row r="445" spans="1:27">
      <c r="A445" s="420"/>
      <c r="B445" s="283"/>
      <c r="C445" s="283"/>
      <c r="D445" s="283"/>
      <c r="E445" s="283"/>
      <c r="F445" s="283"/>
      <c r="G445" s="283"/>
      <c r="H445" s="283"/>
      <c r="I445" s="283"/>
      <c r="J445" s="283"/>
      <c r="K445" s="283"/>
      <c r="L445" s="283"/>
      <c r="M445" s="283"/>
      <c r="N445" s="283"/>
      <c r="O445" s="283"/>
      <c r="P445" s="283"/>
      <c r="Q445" s="283"/>
      <c r="R445" s="283"/>
      <c r="S445" s="283"/>
      <c r="T445" s="283"/>
      <c r="U445" s="283"/>
      <c r="V445" s="283"/>
      <c r="W445" s="283"/>
      <c r="X445" s="283"/>
      <c r="Y445" s="283"/>
      <c r="Z445" s="283"/>
      <c r="AA445" s="283"/>
    </row>
    <row r="446" spans="1:27">
      <c r="A446" s="420"/>
      <c r="B446" s="283"/>
      <c r="C446" s="283"/>
      <c r="D446" s="283"/>
      <c r="E446" s="283"/>
      <c r="F446" s="283"/>
      <c r="G446" s="283"/>
      <c r="H446" s="283"/>
      <c r="I446" s="283"/>
      <c r="J446" s="283"/>
      <c r="K446" s="283"/>
      <c r="L446" s="283"/>
      <c r="M446" s="283"/>
      <c r="N446" s="283"/>
      <c r="O446" s="283"/>
      <c r="P446" s="283"/>
      <c r="Q446" s="283"/>
      <c r="R446" s="283"/>
      <c r="S446" s="283"/>
      <c r="T446" s="283"/>
      <c r="U446" s="283"/>
      <c r="V446" s="283"/>
      <c r="W446" s="283"/>
      <c r="X446" s="283"/>
      <c r="Y446" s="283"/>
      <c r="Z446" s="283"/>
      <c r="AA446" s="283"/>
    </row>
    <row r="447" spans="1:27">
      <c r="A447" s="420"/>
      <c r="B447" s="283"/>
      <c r="C447" s="283"/>
      <c r="D447" s="283"/>
      <c r="E447" s="283"/>
      <c r="F447" s="283"/>
      <c r="G447" s="283"/>
      <c r="H447" s="283"/>
      <c r="I447" s="283"/>
      <c r="J447" s="283"/>
      <c r="K447" s="283"/>
      <c r="L447" s="283"/>
      <c r="M447" s="283"/>
      <c r="N447" s="283"/>
      <c r="O447" s="283"/>
      <c r="P447" s="283"/>
      <c r="Q447" s="283"/>
      <c r="R447" s="283"/>
      <c r="S447" s="283"/>
      <c r="T447" s="283"/>
      <c r="U447" s="283"/>
      <c r="V447" s="283"/>
      <c r="W447" s="283"/>
      <c r="X447" s="283"/>
      <c r="Y447" s="283"/>
      <c r="Z447" s="283"/>
      <c r="AA447" s="283"/>
    </row>
    <row r="448" spans="1:27">
      <c r="A448" s="420"/>
      <c r="B448" s="283"/>
      <c r="C448" s="283"/>
      <c r="D448" s="283"/>
      <c r="E448" s="283"/>
      <c r="F448" s="283"/>
      <c r="G448" s="283"/>
      <c r="H448" s="283"/>
      <c r="I448" s="283"/>
      <c r="J448" s="283"/>
      <c r="K448" s="283"/>
      <c r="L448" s="283"/>
      <c r="M448" s="283"/>
      <c r="N448" s="283"/>
      <c r="O448" s="283"/>
      <c r="P448" s="283"/>
      <c r="Q448" s="283"/>
      <c r="R448" s="283"/>
      <c r="S448" s="283"/>
      <c r="T448" s="283"/>
      <c r="U448" s="283"/>
      <c r="V448" s="283"/>
      <c r="W448" s="283"/>
      <c r="X448" s="283"/>
      <c r="Y448" s="283"/>
      <c r="Z448" s="283"/>
      <c r="AA448" s="283"/>
    </row>
    <row r="449" spans="1:27">
      <c r="A449" s="420"/>
      <c r="B449" s="283"/>
      <c r="C449" s="283"/>
      <c r="D449" s="283"/>
      <c r="E449" s="283"/>
      <c r="F449" s="283"/>
      <c r="G449" s="283"/>
      <c r="H449" s="283"/>
      <c r="I449" s="283"/>
      <c r="J449" s="283"/>
      <c r="K449" s="283"/>
      <c r="L449" s="283"/>
      <c r="M449" s="283"/>
      <c r="N449" s="283"/>
      <c r="O449" s="283"/>
      <c r="P449" s="283"/>
      <c r="Q449" s="283"/>
      <c r="R449" s="283"/>
      <c r="S449" s="283"/>
      <c r="T449" s="283"/>
      <c r="U449" s="283"/>
      <c r="V449" s="283"/>
      <c r="W449" s="283"/>
      <c r="X449" s="283"/>
      <c r="Y449" s="283"/>
      <c r="Z449" s="283"/>
      <c r="AA449" s="283"/>
    </row>
    <row r="450" spans="1:27">
      <c r="A450" s="420"/>
      <c r="B450" s="283"/>
      <c r="C450" s="283"/>
      <c r="D450" s="283"/>
      <c r="E450" s="283"/>
      <c r="F450" s="283"/>
      <c r="G450" s="283"/>
      <c r="H450" s="283"/>
      <c r="I450" s="283"/>
      <c r="J450" s="283"/>
      <c r="K450" s="283"/>
      <c r="L450" s="283"/>
      <c r="M450" s="283"/>
      <c r="N450" s="283"/>
      <c r="O450" s="283"/>
      <c r="P450" s="283"/>
      <c r="Q450" s="283"/>
      <c r="R450" s="283"/>
      <c r="S450" s="283"/>
      <c r="T450" s="283"/>
      <c r="U450" s="283"/>
      <c r="V450" s="283"/>
      <c r="W450" s="283"/>
      <c r="X450" s="283"/>
      <c r="Y450" s="283"/>
      <c r="Z450" s="283"/>
      <c r="AA450" s="283"/>
    </row>
    <row r="451" spans="1:27">
      <c r="A451" s="420"/>
      <c r="B451" s="283"/>
      <c r="C451" s="283"/>
      <c r="D451" s="283"/>
      <c r="E451" s="283"/>
      <c r="F451" s="283"/>
      <c r="G451" s="283"/>
      <c r="H451" s="283"/>
      <c r="I451" s="283"/>
      <c r="J451" s="283"/>
      <c r="K451" s="283"/>
      <c r="L451" s="283"/>
      <c r="M451" s="283"/>
      <c r="N451" s="283"/>
      <c r="O451" s="283"/>
      <c r="P451" s="283"/>
      <c r="Q451" s="283"/>
      <c r="R451" s="283"/>
      <c r="S451" s="283"/>
      <c r="T451" s="283"/>
      <c r="U451" s="283"/>
      <c r="V451" s="283"/>
      <c r="W451" s="283"/>
      <c r="X451" s="283"/>
      <c r="Y451" s="283"/>
      <c r="Z451" s="283"/>
      <c r="AA451" s="283"/>
    </row>
    <row r="452" spans="1:27">
      <c r="A452" s="420"/>
      <c r="B452" s="283"/>
      <c r="C452" s="283"/>
      <c r="D452" s="283"/>
      <c r="E452" s="283"/>
      <c r="F452" s="283"/>
      <c r="G452" s="283"/>
      <c r="H452" s="283"/>
      <c r="I452" s="283"/>
      <c r="J452" s="283"/>
      <c r="K452" s="283"/>
      <c r="L452" s="283"/>
      <c r="M452" s="283"/>
      <c r="N452" s="283"/>
      <c r="O452" s="283"/>
      <c r="P452" s="283"/>
      <c r="Q452" s="283"/>
      <c r="R452" s="283"/>
      <c r="S452" s="283"/>
      <c r="T452" s="283"/>
      <c r="U452" s="283"/>
      <c r="V452" s="283"/>
      <c r="W452" s="283"/>
      <c r="X452" s="283"/>
      <c r="Y452" s="283"/>
      <c r="Z452" s="283"/>
      <c r="AA452" s="283"/>
    </row>
    <row r="453" spans="1:27">
      <c r="A453" s="420"/>
      <c r="B453" s="283"/>
      <c r="C453" s="283"/>
      <c r="D453" s="283"/>
      <c r="E453" s="283"/>
      <c r="F453" s="283"/>
      <c r="G453" s="283"/>
      <c r="H453" s="283"/>
      <c r="I453" s="283"/>
      <c r="J453" s="283"/>
      <c r="K453" s="283"/>
      <c r="L453" s="283"/>
      <c r="M453" s="283"/>
      <c r="N453" s="283"/>
      <c r="O453" s="283"/>
      <c r="P453" s="283"/>
      <c r="Q453" s="283"/>
      <c r="R453" s="283"/>
      <c r="S453" s="283"/>
      <c r="T453" s="283"/>
      <c r="U453" s="283"/>
      <c r="V453" s="283"/>
      <c r="W453" s="283"/>
      <c r="X453" s="283"/>
      <c r="Y453" s="283"/>
      <c r="Z453" s="283"/>
      <c r="AA453" s="283"/>
    </row>
    <row r="454" spans="1:27">
      <c r="A454" s="420"/>
      <c r="B454" s="283"/>
      <c r="C454" s="283"/>
      <c r="D454" s="283"/>
      <c r="E454" s="283"/>
      <c r="F454" s="283"/>
      <c r="G454" s="283"/>
      <c r="H454" s="283"/>
      <c r="I454" s="283"/>
      <c r="J454" s="283"/>
      <c r="K454" s="283"/>
      <c r="L454" s="283"/>
      <c r="M454" s="283"/>
      <c r="N454" s="283"/>
      <c r="O454" s="283"/>
      <c r="P454" s="283"/>
      <c r="Q454" s="283"/>
      <c r="R454" s="283"/>
      <c r="S454" s="283"/>
      <c r="T454" s="283"/>
      <c r="U454" s="283"/>
      <c r="V454" s="283"/>
      <c r="W454" s="283"/>
      <c r="X454" s="283"/>
      <c r="Y454" s="283"/>
      <c r="Z454" s="283"/>
      <c r="AA454" s="283"/>
    </row>
    <row r="455" spans="1:27">
      <c r="A455" s="420"/>
      <c r="B455" s="283"/>
      <c r="C455" s="283"/>
      <c r="D455" s="283"/>
      <c r="E455" s="283"/>
      <c r="F455" s="283"/>
      <c r="G455" s="283"/>
      <c r="H455" s="283"/>
      <c r="I455" s="283"/>
      <c r="J455" s="283"/>
      <c r="K455" s="283"/>
      <c r="L455" s="283"/>
      <c r="M455" s="283"/>
      <c r="N455" s="283"/>
      <c r="O455" s="283"/>
      <c r="P455" s="283"/>
      <c r="Q455" s="283"/>
      <c r="R455" s="283"/>
      <c r="S455" s="283"/>
      <c r="T455" s="283"/>
      <c r="U455" s="283"/>
      <c r="V455" s="283"/>
      <c r="W455" s="283"/>
      <c r="X455" s="283"/>
      <c r="Y455" s="283"/>
      <c r="Z455" s="283"/>
      <c r="AA455" s="283"/>
    </row>
    <row r="456" spans="1:27">
      <c r="A456" s="420"/>
      <c r="B456" s="283"/>
      <c r="C456" s="283"/>
      <c r="D456" s="283"/>
      <c r="E456" s="283"/>
      <c r="F456" s="283"/>
      <c r="G456" s="283"/>
      <c r="H456" s="283"/>
      <c r="I456" s="283"/>
      <c r="J456" s="283"/>
      <c r="K456" s="283"/>
      <c r="L456" s="283"/>
      <c r="M456" s="283"/>
      <c r="N456" s="283"/>
      <c r="O456" s="283"/>
      <c r="P456" s="283"/>
      <c r="Q456" s="283"/>
      <c r="R456" s="283"/>
      <c r="S456" s="283"/>
      <c r="T456" s="283"/>
      <c r="U456" s="283"/>
      <c r="V456" s="283"/>
      <c r="W456" s="283"/>
      <c r="X456" s="283"/>
      <c r="Y456" s="283"/>
      <c r="Z456" s="283"/>
      <c r="AA456" s="283"/>
    </row>
    <row r="457" spans="1:27">
      <c r="A457" s="420"/>
      <c r="B457" s="283"/>
      <c r="C457" s="283"/>
      <c r="D457" s="283"/>
      <c r="E457" s="283"/>
      <c r="F457" s="283"/>
      <c r="G457" s="283"/>
      <c r="H457" s="283"/>
      <c r="I457" s="283"/>
      <c r="J457" s="283"/>
      <c r="K457" s="283"/>
      <c r="L457" s="283"/>
      <c r="M457" s="283"/>
      <c r="N457" s="283"/>
      <c r="O457" s="283"/>
      <c r="P457" s="283"/>
      <c r="Q457" s="283"/>
      <c r="R457" s="283"/>
      <c r="S457" s="283"/>
      <c r="T457" s="283"/>
      <c r="U457" s="283"/>
      <c r="V457" s="283"/>
      <c r="W457" s="283"/>
      <c r="X457" s="283"/>
      <c r="Y457" s="283"/>
      <c r="Z457" s="283"/>
      <c r="AA457" s="283"/>
    </row>
    <row r="458" spans="1:27">
      <c r="A458" s="420"/>
      <c r="B458" s="283"/>
      <c r="C458" s="283"/>
      <c r="D458" s="283"/>
      <c r="E458" s="283"/>
      <c r="F458" s="283"/>
      <c r="G458" s="283"/>
      <c r="H458" s="283"/>
      <c r="I458" s="283"/>
      <c r="J458" s="283"/>
      <c r="K458" s="283"/>
      <c r="L458" s="283"/>
      <c r="M458" s="283"/>
      <c r="N458" s="283"/>
      <c r="O458" s="283"/>
      <c r="P458" s="283"/>
      <c r="Q458" s="283"/>
      <c r="R458" s="283"/>
      <c r="S458" s="283"/>
      <c r="T458" s="283"/>
      <c r="U458" s="283"/>
      <c r="V458" s="283"/>
      <c r="W458" s="283"/>
      <c r="X458" s="283"/>
      <c r="Y458" s="283"/>
      <c r="Z458" s="283"/>
      <c r="AA458" s="283"/>
    </row>
    <row r="459" spans="1:27">
      <c r="A459" s="420"/>
      <c r="B459" s="283"/>
      <c r="C459" s="283"/>
      <c r="D459" s="283"/>
      <c r="E459" s="283"/>
      <c r="F459" s="283"/>
      <c r="G459" s="283"/>
      <c r="H459" s="283"/>
      <c r="I459" s="283"/>
      <c r="J459" s="283"/>
      <c r="K459" s="283"/>
      <c r="L459" s="283"/>
      <c r="M459" s="283"/>
      <c r="N459" s="283"/>
      <c r="O459" s="283"/>
      <c r="P459" s="283"/>
      <c r="Q459" s="283"/>
      <c r="R459" s="283"/>
      <c r="S459" s="283"/>
      <c r="T459" s="283"/>
      <c r="U459" s="283"/>
      <c r="V459" s="283"/>
      <c r="W459" s="283"/>
      <c r="X459" s="283"/>
      <c r="Y459" s="283"/>
      <c r="Z459" s="283"/>
      <c r="AA459" s="283"/>
    </row>
    <row r="460" spans="1:27">
      <c r="A460" s="420"/>
      <c r="B460" s="283"/>
      <c r="C460" s="283"/>
      <c r="D460" s="283"/>
      <c r="E460" s="283"/>
      <c r="F460" s="283"/>
      <c r="G460" s="283"/>
      <c r="H460" s="283"/>
      <c r="I460" s="283"/>
      <c r="J460" s="283"/>
      <c r="K460" s="283"/>
      <c r="L460" s="283"/>
      <c r="M460" s="283"/>
      <c r="N460" s="283"/>
      <c r="O460" s="283"/>
      <c r="P460" s="283"/>
      <c r="Q460" s="283"/>
      <c r="R460" s="283"/>
      <c r="S460" s="283"/>
      <c r="T460" s="283"/>
      <c r="U460" s="283"/>
      <c r="V460" s="283"/>
      <c r="W460" s="283"/>
      <c r="X460" s="283"/>
      <c r="Y460" s="283"/>
      <c r="Z460" s="283"/>
      <c r="AA460" s="283"/>
    </row>
    <row r="461" spans="1:27">
      <c r="A461" s="420"/>
      <c r="B461" s="283"/>
      <c r="C461" s="283"/>
      <c r="D461" s="283"/>
      <c r="E461" s="283"/>
      <c r="F461" s="283"/>
      <c r="G461" s="283"/>
      <c r="H461" s="283"/>
      <c r="I461" s="283"/>
      <c r="J461" s="283"/>
      <c r="K461" s="283"/>
      <c r="L461" s="283"/>
      <c r="M461" s="283"/>
      <c r="N461" s="283"/>
      <c r="O461" s="283"/>
      <c r="P461" s="283"/>
      <c r="Q461" s="283"/>
      <c r="R461" s="283"/>
      <c r="S461" s="283"/>
      <c r="T461" s="283"/>
      <c r="U461" s="283"/>
      <c r="V461" s="283"/>
      <c r="W461" s="283"/>
      <c r="X461" s="283"/>
      <c r="Y461" s="283"/>
      <c r="Z461" s="283"/>
      <c r="AA461" s="283"/>
    </row>
    <row r="462" spans="1:27">
      <c r="A462" s="420"/>
      <c r="B462" s="283"/>
      <c r="C462" s="283"/>
      <c r="D462" s="283"/>
      <c r="E462" s="283"/>
      <c r="F462" s="283"/>
      <c r="G462" s="283"/>
      <c r="H462" s="283"/>
      <c r="I462" s="283"/>
      <c r="J462" s="283"/>
      <c r="K462" s="283"/>
      <c r="L462" s="283"/>
      <c r="M462" s="283"/>
      <c r="N462" s="283"/>
      <c r="O462" s="283"/>
      <c r="P462" s="283"/>
      <c r="Q462" s="283"/>
      <c r="R462" s="283"/>
      <c r="S462" s="283"/>
      <c r="T462" s="283"/>
      <c r="U462" s="283"/>
      <c r="V462" s="283"/>
      <c r="W462" s="283"/>
      <c r="X462" s="283"/>
      <c r="Y462" s="283"/>
      <c r="Z462" s="283"/>
      <c r="AA462" s="283"/>
    </row>
    <row r="463" spans="1:27">
      <c r="A463" s="420"/>
      <c r="B463" s="283"/>
      <c r="C463" s="283"/>
      <c r="D463" s="283"/>
      <c r="E463" s="283"/>
      <c r="F463" s="283"/>
      <c r="G463" s="283"/>
      <c r="H463" s="283"/>
      <c r="I463" s="283"/>
      <c r="J463" s="283"/>
      <c r="K463" s="283"/>
      <c r="L463" s="283"/>
      <c r="M463" s="283"/>
      <c r="N463" s="283"/>
      <c r="O463" s="283"/>
      <c r="P463" s="283"/>
      <c r="Q463" s="283"/>
      <c r="R463" s="283"/>
      <c r="S463" s="283"/>
      <c r="T463" s="283"/>
      <c r="U463" s="283"/>
      <c r="V463" s="283"/>
      <c r="W463" s="283"/>
      <c r="X463" s="283"/>
      <c r="Y463" s="283"/>
      <c r="Z463" s="283"/>
      <c r="AA463" s="283"/>
    </row>
    <row r="464" spans="1:27">
      <c r="A464" s="420"/>
      <c r="B464" s="283"/>
      <c r="C464" s="283"/>
      <c r="D464" s="283"/>
      <c r="E464" s="283"/>
      <c r="F464" s="283"/>
      <c r="G464" s="283"/>
      <c r="H464" s="283"/>
      <c r="I464" s="283"/>
      <c r="J464" s="283"/>
      <c r="K464" s="283"/>
      <c r="L464" s="283"/>
      <c r="M464" s="283"/>
      <c r="N464" s="283"/>
      <c r="O464" s="283"/>
      <c r="P464" s="283"/>
      <c r="Q464" s="283"/>
      <c r="R464" s="283"/>
      <c r="S464" s="283"/>
      <c r="T464" s="283"/>
      <c r="U464" s="283"/>
      <c r="V464" s="283"/>
      <c r="W464" s="283"/>
      <c r="X464" s="283"/>
      <c r="Y464" s="283"/>
      <c r="Z464" s="283"/>
      <c r="AA464" s="283"/>
    </row>
    <row r="465" spans="1:27">
      <c r="A465" s="420"/>
      <c r="B465" s="283"/>
      <c r="C465" s="283"/>
      <c r="D465" s="283"/>
      <c r="E465" s="283"/>
      <c r="F465" s="283"/>
      <c r="G465" s="283"/>
      <c r="H465" s="283"/>
      <c r="I465" s="283"/>
      <c r="J465" s="283"/>
      <c r="K465" s="283"/>
      <c r="L465" s="283"/>
      <c r="M465" s="283"/>
      <c r="N465" s="283"/>
      <c r="O465" s="283"/>
      <c r="P465" s="283"/>
      <c r="Q465" s="283"/>
      <c r="R465" s="283"/>
      <c r="S465" s="283"/>
      <c r="T465" s="283"/>
      <c r="U465" s="283"/>
      <c r="V465" s="283"/>
      <c r="W465" s="283"/>
      <c r="X465" s="283"/>
      <c r="Y465" s="283"/>
      <c r="Z465" s="283"/>
      <c r="AA465" s="283"/>
    </row>
    <row r="466" spans="1:27">
      <c r="A466" s="420"/>
      <c r="B466" s="283"/>
      <c r="C466" s="283"/>
      <c r="D466" s="283"/>
      <c r="E466" s="283"/>
      <c r="F466" s="283"/>
      <c r="G466" s="283"/>
      <c r="H466" s="283"/>
      <c r="I466" s="283"/>
      <c r="J466" s="283"/>
      <c r="K466" s="283"/>
      <c r="L466" s="283"/>
      <c r="M466" s="283"/>
      <c r="N466" s="283"/>
      <c r="O466" s="283"/>
      <c r="P466" s="283"/>
      <c r="Q466" s="283"/>
      <c r="R466" s="283"/>
      <c r="S466" s="283"/>
      <c r="T466" s="283"/>
      <c r="U466" s="283"/>
      <c r="V466" s="283"/>
      <c r="W466" s="283"/>
      <c r="X466" s="283"/>
      <c r="Y466" s="283"/>
      <c r="Z466" s="283"/>
      <c r="AA466" s="283"/>
    </row>
    <row r="467" spans="1:27">
      <c r="A467" s="420"/>
      <c r="B467" s="283"/>
      <c r="C467" s="283"/>
      <c r="D467" s="283"/>
      <c r="E467" s="283"/>
      <c r="F467" s="283"/>
      <c r="G467" s="283"/>
      <c r="H467" s="283"/>
      <c r="I467" s="283"/>
      <c r="J467" s="283"/>
      <c r="K467" s="283"/>
      <c r="L467" s="283"/>
      <c r="M467" s="283"/>
      <c r="N467" s="283"/>
      <c r="O467" s="283"/>
      <c r="P467" s="283"/>
      <c r="Q467" s="283"/>
      <c r="R467" s="283"/>
      <c r="S467" s="283"/>
      <c r="T467" s="283"/>
      <c r="U467" s="283"/>
      <c r="V467" s="283"/>
      <c r="W467" s="283"/>
      <c r="X467" s="283"/>
      <c r="Y467" s="283"/>
      <c r="Z467" s="283"/>
      <c r="AA467" s="283"/>
    </row>
    <row r="468" spans="1:27">
      <c r="A468" s="420"/>
      <c r="B468" s="283"/>
      <c r="C468" s="283"/>
      <c r="D468" s="283"/>
      <c r="E468" s="283"/>
      <c r="F468" s="283"/>
      <c r="G468" s="283"/>
      <c r="H468" s="283"/>
      <c r="I468" s="283"/>
      <c r="J468" s="283"/>
      <c r="K468" s="283"/>
      <c r="L468" s="283"/>
      <c r="M468" s="283"/>
      <c r="N468" s="283"/>
      <c r="O468" s="283"/>
      <c r="P468" s="283"/>
      <c r="Q468" s="283"/>
      <c r="R468" s="283"/>
      <c r="S468" s="283"/>
      <c r="T468" s="283"/>
      <c r="U468" s="283"/>
      <c r="V468" s="283"/>
      <c r="W468" s="283"/>
      <c r="X468" s="283"/>
      <c r="Y468" s="283"/>
      <c r="Z468" s="283"/>
      <c r="AA468" s="283"/>
    </row>
    <row r="469" spans="1:27">
      <c r="A469" s="420"/>
      <c r="B469" s="283"/>
      <c r="C469" s="283"/>
      <c r="D469" s="283"/>
      <c r="E469" s="283"/>
      <c r="F469" s="283"/>
      <c r="G469" s="283"/>
      <c r="H469" s="283"/>
      <c r="I469" s="283"/>
      <c r="J469" s="283"/>
      <c r="K469" s="283"/>
      <c r="L469" s="283"/>
      <c r="M469" s="283"/>
      <c r="N469" s="283"/>
      <c r="O469" s="283"/>
      <c r="P469" s="283"/>
      <c r="Q469" s="283"/>
      <c r="R469" s="283"/>
      <c r="S469" s="283"/>
      <c r="T469" s="283"/>
      <c r="U469" s="283"/>
      <c r="V469" s="283"/>
      <c r="W469" s="283"/>
      <c r="X469" s="283"/>
      <c r="Y469" s="283"/>
      <c r="Z469" s="283"/>
      <c r="AA469" s="283"/>
    </row>
    <row r="470" spans="1:27">
      <c r="A470" s="420"/>
      <c r="B470" s="283"/>
      <c r="C470" s="283"/>
      <c r="D470" s="283"/>
      <c r="E470" s="283"/>
      <c r="F470" s="283"/>
      <c r="G470" s="283"/>
      <c r="H470" s="283"/>
      <c r="I470" s="283"/>
      <c r="J470" s="283"/>
      <c r="K470" s="283"/>
      <c r="L470" s="283"/>
      <c r="M470" s="283"/>
      <c r="N470" s="283"/>
      <c r="O470" s="283"/>
      <c r="P470" s="283"/>
      <c r="Q470" s="283"/>
      <c r="R470" s="283"/>
      <c r="S470" s="283"/>
      <c r="T470" s="283"/>
      <c r="U470" s="283"/>
      <c r="V470" s="283"/>
      <c r="W470" s="283"/>
      <c r="X470" s="283"/>
      <c r="Y470" s="283"/>
      <c r="Z470" s="283"/>
      <c r="AA470" s="283"/>
    </row>
    <row r="471" spans="1:27">
      <c r="A471" s="420"/>
      <c r="B471" s="283"/>
      <c r="C471" s="283"/>
      <c r="D471" s="283"/>
      <c r="E471" s="283"/>
      <c r="F471" s="283"/>
      <c r="G471" s="283"/>
      <c r="H471" s="283"/>
      <c r="I471" s="283"/>
      <c r="J471" s="283"/>
      <c r="K471" s="283"/>
      <c r="L471" s="283"/>
      <c r="M471" s="283"/>
      <c r="N471" s="283"/>
      <c r="O471" s="283"/>
      <c r="P471" s="283"/>
      <c r="Q471" s="283"/>
      <c r="R471" s="283"/>
      <c r="S471" s="283"/>
      <c r="T471" s="283"/>
      <c r="U471" s="283"/>
      <c r="V471" s="283"/>
      <c r="W471" s="283"/>
      <c r="X471" s="283"/>
      <c r="Y471" s="283"/>
      <c r="Z471" s="283"/>
      <c r="AA471" s="283"/>
    </row>
    <row r="472" spans="1:27">
      <c r="A472" s="420"/>
      <c r="B472" s="283"/>
      <c r="C472" s="283"/>
      <c r="D472" s="283"/>
      <c r="E472" s="283"/>
      <c r="F472" s="283"/>
      <c r="G472" s="283"/>
      <c r="H472" s="283"/>
      <c r="I472" s="283"/>
      <c r="J472" s="283"/>
      <c r="K472" s="283"/>
      <c r="L472" s="283"/>
      <c r="M472" s="283"/>
      <c r="N472" s="283"/>
      <c r="O472" s="283"/>
      <c r="P472" s="283"/>
      <c r="Q472" s="283"/>
      <c r="R472" s="283"/>
      <c r="S472" s="283"/>
      <c r="T472" s="283"/>
      <c r="U472" s="283"/>
      <c r="V472" s="283"/>
      <c r="W472" s="283"/>
      <c r="X472" s="283"/>
      <c r="Y472" s="283"/>
      <c r="Z472" s="283"/>
      <c r="AA472" s="283"/>
    </row>
    <row r="473" spans="1:27">
      <c r="A473" s="420"/>
      <c r="B473" s="283"/>
      <c r="C473" s="283"/>
      <c r="D473" s="283"/>
      <c r="E473" s="283"/>
      <c r="F473" s="283"/>
      <c r="G473" s="283"/>
      <c r="H473" s="283"/>
      <c r="I473" s="283"/>
      <c r="J473" s="283"/>
      <c r="K473" s="283"/>
      <c r="L473" s="283"/>
      <c r="M473" s="283"/>
      <c r="N473" s="283"/>
      <c r="O473" s="283"/>
      <c r="P473" s="283"/>
      <c r="Q473" s="283"/>
      <c r="R473" s="283"/>
      <c r="S473" s="283"/>
      <c r="T473" s="283"/>
      <c r="U473" s="283"/>
      <c r="V473" s="283"/>
      <c r="W473" s="283"/>
      <c r="X473" s="283"/>
      <c r="Y473" s="283"/>
      <c r="Z473" s="283"/>
      <c r="AA473" s="283"/>
    </row>
    <row r="474" spans="1:27">
      <c r="A474" s="420"/>
      <c r="B474" s="283"/>
      <c r="C474" s="283"/>
      <c r="D474" s="283"/>
      <c r="E474" s="283"/>
      <c r="F474" s="283"/>
      <c r="G474" s="283"/>
      <c r="H474" s="283"/>
      <c r="I474" s="283"/>
      <c r="J474" s="283"/>
      <c r="K474" s="283"/>
      <c r="L474" s="283"/>
      <c r="M474" s="283"/>
      <c r="N474" s="283"/>
      <c r="O474" s="283"/>
      <c r="P474" s="283"/>
      <c r="Q474" s="283"/>
      <c r="R474" s="283"/>
      <c r="S474" s="283"/>
      <c r="T474" s="283"/>
      <c r="U474" s="283"/>
      <c r="V474" s="283"/>
      <c r="W474" s="283"/>
      <c r="X474" s="283"/>
      <c r="Y474" s="283"/>
      <c r="Z474" s="283"/>
      <c r="AA474" s="283"/>
    </row>
    <row r="475" spans="1:27">
      <c r="A475" s="420"/>
      <c r="B475" s="283"/>
      <c r="C475" s="283"/>
      <c r="D475" s="283"/>
      <c r="E475" s="283"/>
      <c r="F475" s="283"/>
      <c r="G475" s="283"/>
      <c r="H475" s="283"/>
      <c r="I475" s="283"/>
      <c r="J475" s="283"/>
      <c r="K475" s="283"/>
      <c r="L475" s="283"/>
      <c r="M475" s="283"/>
      <c r="N475" s="283"/>
      <c r="O475" s="283"/>
      <c r="P475" s="283"/>
      <c r="Q475" s="283"/>
      <c r="R475" s="283"/>
      <c r="S475" s="283"/>
      <c r="T475" s="283"/>
      <c r="U475" s="283"/>
      <c r="V475" s="283"/>
      <c r="W475" s="283"/>
      <c r="X475" s="283"/>
      <c r="Y475" s="283"/>
      <c r="Z475" s="283"/>
      <c r="AA475" s="283"/>
    </row>
    <row r="476" spans="1:27">
      <c r="A476" s="420"/>
      <c r="B476" s="283"/>
      <c r="C476" s="283"/>
      <c r="D476" s="283"/>
      <c r="E476" s="283"/>
      <c r="F476" s="283"/>
      <c r="G476" s="283"/>
      <c r="H476" s="283"/>
      <c r="I476" s="283"/>
      <c r="J476" s="283"/>
      <c r="K476" s="283"/>
      <c r="L476" s="283"/>
      <c r="M476" s="283"/>
      <c r="N476" s="283"/>
      <c r="O476" s="283"/>
      <c r="P476" s="283"/>
      <c r="Q476" s="283"/>
      <c r="R476" s="283"/>
      <c r="S476" s="283"/>
      <c r="T476" s="283"/>
      <c r="U476" s="283"/>
      <c r="V476" s="283"/>
      <c r="W476" s="283"/>
      <c r="X476" s="283"/>
      <c r="Y476" s="283"/>
      <c r="Z476" s="283"/>
      <c r="AA476" s="283"/>
    </row>
    <row r="477" spans="1:27">
      <c r="A477" s="420"/>
      <c r="B477" s="283"/>
      <c r="C477" s="283"/>
      <c r="D477" s="283"/>
      <c r="E477" s="283"/>
      <c r="F477" s="283"/>
      <c r="G477" s="283"/>
      <c r="H477" s="283"/>
      <c r="I477" s="283"/>
      <c r="J477" s="283"/>
      <c r="K477" s="283"/>
      <c r="L477" s="283"/>
      <c r="M477" s="283"/>
      <c r="N477" s="283"/>
      <c r="O477" s="283"/>
      <c r="P477" s="283"/>
      <c r="Q477" s="283"/>
      <c r="R477" s="283"/>
      <c r="S477" s="283"/>
      <c r="T477" s="283"/>
      <c r="U477" s="283"/>
      <c r="V477" s="283"/>
      <c r="W477" s="283"/>
      <c r="X477" s="283"/>
      <c r="Y477" s="283"/>
      <c r="Z477" s="283"/>
      <c r="AA477" s="283"/>
    </row>
    <row r="478" spans="1:27">
      <c r="A478" s="420"/>
      <c r="B478" s="283"/>
      <c r="C478" s="283"/>
      <c r="D478" s="283"/>
      <c r="E478" s="283"/>
      <c r="F478" s="283"/>
      <c r="G478" s="283"/>
      <c r="H478" s="283"/>
      <c r="I478" s="283"/>
      <c r="J478" s="283"/>
      <c r="K478" s="283"/>
      <c r="L478" s="283"/>
      <c r="M478" s="283"/>
      <c r="N478" s="283"/>
      <c r="O478" s="283"/>
      <c r="P478" s="283"/>
      <c r="Q478" s="283"/>
      <c r="R478" s="283"/>
      <c r="S478" s="283"/>
      <c r="T478" s="283"/>
      <c r="U478" s="283"/>
      <c r="V478" s="283"/>
      <c r="W478" s="283"/>
      <c r="X478" s="283"/>
      <c r="Y478" s="283"/>
      <c r="Z478" s="283"/>
      <c r="AA478" s="283"/>
    </row>
    <row r="479" spans="1:27">
      <c r="A479" s="420"/>
      <c r="B479" s="283"/>
      <c r="C479" s="283"/>
      <c r="D479" s="283"/>
      <c r="E479" s="283"/>
      <c r="F479" s="283"/>
      <c r="G479" s="283"/>
      <c r="H479" s="283"/>
      <c r="I479" s="283"/>
      <c r="J479" s="283"/>
      <c r="K479" s="283"/>
      <c r="L479" s="283"/>
      <c r="M479" s="283"/>
      <c r="N479" s="283"/>
      <c r="O479" s="283"/>
      <c r="P479" s="283"/>
      <c r="Q479" s="283"/>
      <c r="R479" s="283"/>
      <c r="S479" s="283"/>
      <c r="T479" s="283"/>
      <c r="U479" s="283"/>
      <c r="V479" s="283"/>
      <c r="W479" s="283"/>
      <c r="X479" s="283"/>
      <c r="Y479" s="283"/>
      <c r="Z479" s="283"/>
      <c r="AA479" s="283"/>
    </row>
    <row r="480" spans="1:27">
      <c r="A480" s="420"/>
      <c r="B480" s="283"/>
      <c r="C480" s="283"/>
      <c r="D480" s="283"/>
      <c r="E480" s="283"/>
      <c r="F480" s="283"/>
      <c r="G480" s="283"/>
      <c r="H480" s="283"/>
      <c r="I480" s="283"/>
      <c r="J480" s="283"/>
      <c r="K480" s="283"/>
      <c r="L480" s="283"/>
      <c r="M480" s="283"/>
      <c r="N480" s="283"/>
      <c r="O480" s="283"/>
      <c r="P480" s="283"/>
      <c r="Q480" s="283"/>
      <c r="R480" s="283"/>
      <c r="S480" s="283"/>
      <c r="T480" s="283"/>
      <c r="U480" s="283"/>
      <c r="V480" s="283"/>
      <c r="W480" s="283"/>
      <c r="X480" s="283"/>
      <c r="Y480" s="283"/>
      <c r="Z480" s="283"/>
      <c r="AA480" s="283"/>
    </row>
    <row r="481" spans="1:27">
      <c r="A481" s="420"/>
      <c r="B481" s="283"/>
      <c r="C481" s="283"/>
      <c r="D481" s="283"/>
      <c r="E481" s="283"/>
      <c r="F481" s="283"/>
      <c r="G481" s="283"/>
      <c r="H481" s="283"/>
      <c r="I481" s="283"/>
      <c r="J481" s="283"/>
      <c r="K481" s="283"/>
      <c r="L481" s="283"/>
      <c r="M481" s="283"/>
      <c r="N481" s="283"/>
      <c r="O481" s="283"/>
      <c r="P481" s="283"/>
      <c r="Q481" s="283"/>
      <c r="R481" s="283"/>
      <c r="S481" s="283"/>
      <c r="T481" s="283"/>
      <c r="U481" s="283"/>
      <c r="V481" s="283"/>
      <c r="W481" s="283"/>
      <c r="X481" s="283"/>
      <c r="Y481" s="283"/>
      <c r="Z481" s="283"/>
      <c r="AA481" s="283"/>
    </row>
    <row r="482" spans="1:27">
      <c r="A482" s="420"/>
      <c r="B482" s="283"/>
      <c r="C482" s="283"/>
      <c r="D482" s="283"/>
      <c r="E482" s="283"/>
      <c r="F482" s="283"/>
      <c r="G482" s="283"/>
      <c r="H482" s="283"/>
      <c r="I482" s="283"/>
      <c r="J482" s="283"/>
      <c r="K482" s="283"/>
      <c r="L482" s="283"/>
      <c r="M482" s="283"/>
      <c r="N482" s="283"/>
      <c r="O482" s="283"/>
      <c r="P482" s="283"/>
      <c r="Q482" s="283"/>
      <c r="R482" s="283"/>
      <c r="S482" s="283"/>
      <c r="T482" s="283"/>
      <c r="U482" s="283"/>
      <c r="V482" s="283"/>
      <c r="W482" s="283"/>
      <c r="X482" s="283"/>
      <c r="Y482" s="283"/>
      <c r="Z482" s="283"/>
      <c r="AA482" s="283"/>
    </row>
    <row r="483" spans="1:27">
      <c r="A483" s="420"/>
      <c r="B483" s="283"/>
      <c r="C483" s="283"/>
      <c r="D483" s="283"/>
      <c r="E483" s="283"/>
      <c r="F483" s="283"/>
      <c r="G483" s="283"/>
      <c r="H483" s="283"/>
      <c r="I483" s="283"/>
      <c r="J483" s="283"/>
      <c r="K483" s="283"/>
      <c r="L483" s="283"/>
      <c r="M483" s="283"/>
      <c r="N483" s="283"/>
      <c r="O483" s="283"/>
      <c r="P483" s="283"/>
      <c r="Q483" s="283"/>
      <c r="R483" s="283"/>
      <c r="S483" s="283"/>
      <c r="T483" s="283"/>
      <c r="U483" s="283"/>
      <c r="V483" s="283"/>
      <c r="W483" s="283"/>
      <c r="X483" s="283"/>
      <c r="Y483" s="283"/>
      <c r="Z483" s="283"/>
      <c r="AA483" s="283"/>
    </row>
    <row r="484" spans="1:27">
      <c r="A484" s="420"/>
      <c r="B484" s="283"/>
      <c r="C484" s="283"/>
      <c r="D484" s="283"/>
      <c r="E484" s="283"/>
      <c r="F484" s="283"/>
      <c r="G484" s="283"/>
      <c r="H484" s="283"/>
      <c r="I484" s="283"/>
      <c r="J484" s="283"/>
      <c r="K484" s="283"/>
      <c r="L484" s="283"/>
      <c r="M484" s="283"/>
      <c r="N484" s="283"/>
      <c r="O484" s="283"/>
      <c r="P484" s="283"/>
      <c r="Q484" s="283"/>
      <c r="R484" s="283"/>
      <c r="S484" s="283"/>
      <c r="T484" s="283"/>
      <c r="U484" s="283"/>
      <c r="V484" s="283"/>
      <c r="W484" s="283"/>
      <c r="X484" s="283"/>
      <c r="Y484" s="283"/>
      <c r="Z484" s="283"/>
      <c r="AA484" s="283"/>
    </row>
    <row r="485" spans="1:27">
      <c r="A485" s="420"/>
      <c r="B485" s="283"/>
      <c r="C485" s="283"/>
      <c r="D485" s="283"/>
      <c r="E485" s="283"/>
      <c r="F485" s="283"/>
      <c r="G485" s="283"/>
      <c r="H485" s="283"/>
      <c r="I485" s="283"/>
      <c r="J485" s="283"/>
      <c r="K485" s="283"/>
      <c r="L485" s="283"/>
      <c r="M485" s="283"/>
      <c r="N485" s="283"/>
      <c r="O485" s="283"/>
      <c r="P485" s="283"/>
      <c r="Q485" s="283"/>
      <c r="R485" s="283"/>
      <c r="S485" s="283"/>
      <c r="T485" s="283"/>
      <c r="U485" s="283"/>
      <c r="V485" s="283"/>
      <c r="W485" s="283"/>
      <c r="X485" s="283"/>
      <c r="Y485" s="283"/>
      <c r="Z485" s="283"/>
      <c r="AA485" s="283"/>
    </row>
    <row r="486" spans="1:27">
      <c r="A486" s="420"/>
      <c r="B486" s="283"/>
      <c r="C486" s="283"/>
      <c r="D486" s="283"/>
      <c r="E486" s="283"/>
      <c r="F486" s="283"/>
      <c r="G486" s="283"/>
      <c r="H486" s="283"/>
      <c r="I486" s="283"/>
      <c r="J486" s="283"/>
      <c r="K486" s="283"/>
      <c r="L486" s="283"/>
      <c r="M486" s="283"/>
      <c r="N486" s="283"/>
      <c r="O486" s="283"/>
      <c r="P486" s="283"/>
      <c r="Q486" s="283"/>
      <c r="R486" s="283"/>
      <c r="S486" s="283"/>
      <c r="T486" s="283"/>
      <c r="U486" s="283"/>
      <c r="V486" s="283"/>
      <c r="W486" s="283"/>
      <c r="X486" s="283"/>
      <c r="Y486" s="283"/>
      <c r="Z486" s="283"/>
      <c r="AA486" s="283"/>
    </row>
    <row r="487" spans="1:27">
      <c r="A487" s="420"/>
      <c r="B487" s="283"/>
      <c r="C487" s="283"/>
      <c r="D487" s="283"/>
      <c r="E487" s="283"/>
      <c r="F487" s="283"/>
      <c r="G487" s="283"/>
      <c r="H487" s="283"/>
      <c r="I487" s="283"/>
      <c r="J487" s="283"/>
      <c r="K487" s="283"/>
      <c r="L487" s="283"/>
      <c r="M487" s="283"/>
      <c r="N487" s="283"/>
      <c r="O487" s="283"/>
      <c r="P487" s="283"/>
      <c r="Q487" s="283"/>
      <c r="R487" s="283"/>
      <c r="S487" s="283"/>
      <c r="T487" s="283"/>
      <c r="U487" s="283"/>
      <c r="V487" s="283"/>
      <c r="W487" s="283"/>
      <c r="X487" s="283"/>
      <c r="Y487" s="283"/>
      <c r="Z487" s="283"/>
      <c r="AA487" s="283"/>
    </row>
    <row r="488" spans="1:27">
      <c r="A488" s="420"/>
      <c r="B488" s="283"/>
      <c r="C488" s="283"/>
      <c r="D488" s="283"/>
      <c r="E488" s="283"/>
      <c r="F488" s="283"/>
      <c r="G488" s="283"/>
      <c r="H488" s="283"/>
      <c r="I488" s="283"/>
      <c r="J488" s="283"/>
      <c r="K488" s="283"/>
      <c r="L488" s="283"/>
      <c r="M488" s="283"/>
      <c r="N488" s="283"/>
      <c r="O488" s="283"/>
      <c r="P488" s="283"/>
      <c r="Q488" s="283"/>
      <c r="R488" s="283"/>
      <c r="S488" s="283"/>
      <c r="T488" s="283"/>
      <c r="U488" s="283"/>
      <c r="V488" s="283"/>
      <c r="W488" s="283"/>
      <c r="X488" s="283"/>
      <c r="Y488" s="283"/>
      <c r="Z488" s="283"/>
      <c r="AA488" s="283"/>
    </row>
    <row r="489" spans="1:27">
      <c r="A489" s="420"/>
      <c r="B489" s="283"/>
      <c r="C489" s="283"/>
      <c r="D489" s="283"/>
      <c r="E489" s="283"/>
      <c r="F489" s="283"/>
      <c r="G489" s="283"/>
      <c r="H489" s="283"/>
      <c r="I489" s="283"/>
      <c r="J489" s="283"/>
      <c r="K489" s="283"/>
      <c r="L489" s="283"/>
      <c r="M489" s="283"/>
      <c r="N489" s="283"/>
      <c r="O489" s="283"/>
      <c r="P489" s="283"/>
      <c r="Q489" s="283"/>
      <c r="R489" s="283"/>
      <c r="S489" s="283"/>
      <c r="T489" s="283"/>
      <c r="U489" s="283"/>
      <c r="V489" s="283"/>
      <c r="W489" s="283"/>
      <c r="X489" s="283"/>
      <c r="Y489" s="283"/>
      <c r="Z489" s="283"/>
      <c r="AA489" s="283"/>
    </row>
    <row r="490" spans="1:27">
      <c r="A490" s="420"/>
      <c r="B490" s="283"/>
      <c r="C490" s="283"/>
      <c r="D490" s="283"/>
      <c r="E490" s="283"/>
      <c r="F490" s="283"/>
      <c r="G490" s="283"/>
      <c r="H490" s="283"/>
      <c r="I490" s="283"/>
      <c r="J490" s="283"/>
      <c r="K490" s="283"/>
      <c r="L490" s="283"/>
      <c r="M490" s="283"/>
      <c r="N490" s="283"/>
      <c r="O490" s="283"/>
      <c r="P490" s="283"/>
      <c r="Q490" s="283"/>
      <c r="R490" s="283"/>
      <c r="S490" s="283"/>
      <c r="T490" s="283"/>
      <c r="U490" s="283"/>
      <c r="V490" s="283"/>
      <c r="W490" s="283"/>
      <c r="X490" s="283"/>
      <c r="Y490" s="283"/>
      <c r="Z490" s="283"/>
      <c r="AA490" s="283"/>
    </row>
    <row r="491" spans="1:27">
      <c r="A491" s="420"/>
      <c r="B491" s="283"/>
      <c r="C491" s="283"/>
      <c r="D491" s="283"/>
      <c r="E491" s="283"/>
      <c r="F491" s="283"/>
      <c r="G491" s="283"/>
      <c r="H491" s="283"/>
      <c r="I491" s="283"/>
      <c r="J491" s="283"/>
      <c r="K491" s="283"/>
      <c r="L491" s="283"/>
      <c r="M491" s="283"/>
      <c r="N491" s="283"/>
      <c r="O491" s="283"/>
      <c r="P491" s="283"/>
      <c r="Q491" s="283"/>
      <c r="R491" s="283"/>
      <c r="S491" s="283"/>
      <c r="T491" s="283"/>
      <c r="U491" s="283"/>
      <c r="V491" s="283"/>
      <c r="W491" s="283"/>
      <c r="X491" s="283"/>
      <c r="Y491" s="283"/>
      <c r="Z491" s="283"/>
      <c r="AA491" s="283"/>
    </row>
    <row r="492" spans="1:27">
      <c r="A492" s="420"/>
      <c r="B492" s="283"/>
      <c r="C492" s="283"/>
      <c r="D492" s="283"/>
      <c r="E492" s="283"/>
      <c r="F492" s="283"/>
      <c r="G492" s="283"/>
      <c r="H492" s="283"/>
      <c r="I492" s="283"/>
      <c r="J492" s="283"/>
      <c r="K492" s="283"/>
      <c r="L492" s="283"/>
      <c r="M492" s="283"/>
      <c r="N492" s="283"/>
      <c r="O492" s="283"/>
      <c r="P492" s="283"/>
      <c r="Q492" s="283"/>
      <c r="R492" s="283"/>
      <c r="S492" s="283"/>
      <c r="T492" s="283"/>
      <c r="U492" s="283"/>
      <c r="V492" s="283"/>
      <c r="W492" s="283"/>
      <c r="X492" s="283"/>
      <c r="Y492" s="283"/>
      <c r="Z492" s="283"/>
      <c r="AA492" s="283"/>
    </row>
    <row r="493" spans="1:27">
      <c r="A493" s="420"/>
      <c r="B493" s="283"/>
      <c r="C493" s="283"/>
      <c r="D493" s="283"/>
      <c r="E493" s="283"/>
      <c r="F493" s="283"/>
      <c r="G493" s="283"/>
      <c r="H493" s="283"/>
      <c r="I493" s="283"/>
      <c r="J493" s="283"/>
      <c r="K493" s="283"/>
      <c r="L493" s="283"/>
      <c r="M493" s="283"/>
      <c r="N493" s="283"/>
      <c r="O493" s="283"/>
      <c r="P493" s="283"/>
      <c r="Q493" s="283"/>
      <c r="R493" s="283"/>
      <c r="S493" s="283"/>
      <c r="T493" s="283"/>
      <c r="U493" s="283"/>
      <c r="V493" s="283"/>
      <c r="W493" s="283"/>
      <c r="X493" s="283"/>
      <c r="Y493" s="283"/>
      <c r="Z493" s="283"/>
      <c r="AA493" s="283"/>
    </row>
    <row r="494" spans="1:27">
      <c r="A494" s="420"/>
      <c r="B494" s="283"/>
      <c r="C494" s="283"/>
      <c r="D494" s="283"/>
      <c r="E494" s="283"/>
      <c r="F494" s="283"/>
      <c r="G494" s="283"/>
      <c r="H494" s="283"/>
      <c r="I494" s="283"/>
      <c r="J494" s="283"/>
      <c r="K494" s="283"/>
      <c r="L494" s="283"/>
      <c r="M494" s="283"/>
      <c r="N494" s="283"/>
      <c r="O494" s="283"/>
      <c r="P494" s="283"/>
      <c r="Q494" s="283"/>
      <c r="R494" s="283"/>
      <c r="S494" s="283"/>
      <c r="T494" s="283"/>
      <c r="U494" s="283"/>
      <c r="V494" s="283"/>
      <c r="W494" s="283"/>
      <c r="X494" s="283"/>
      <c r="Y494" s="283"/>
      <c r="Z494" s="283"/>
      <c r="AA494" s="283"/>
    </row>
    <row r="495" spans="1:27">
      <c r="A495" s="420"/>
      <c r="B495" s="283"/>
      <c r="C495" s="283"/>
      <c r="D495" s="283"/>
      <c r="E495" s="283"/>
      <c r="F495" s="283"/>
      <c r="G495" s="283"/>
      <c r="H495" s="283"/>
      <c r="I495" s="283"/>
      <c r="J495" s="283"/>
      <c r="K495" s="283"/>
      <c r="L495" s="283"/>
      <c r="M495" s="283"/>
      <c r="N495" s="283"/>
      <c r="O495" s="283"/>
      <c r="P495" s="283"/>
      <c r="Q495" s="283"/>
      <c r="R495" s="283"/>
      <c r="S495" s="283"/>
      <c r="T495" s="283"/>
      <c r="U495" s="283"/>
      <c r="V495" s="283"/>
      <c r="W495" s="283"/>
      <c r="X495" s="283"/>
      <c r="Y495" s="283"/>
      <c r="Z495" s="283"/>
      <c r="AA495" s="283"/>
    </row>
    <row r="496" spans="1:27">
      <c r="A496" s="420"/>
      <c r="B496" s="283"/>
      <c r="C496" s="283"/>
      <c r="D496" s="283"/>
      <c r="E496" s="283"/>
      <c r="F496" s="283"/>
      <c r="G496" s="283"/>
      <c r="H496" s="283"/>
      <c r="I496" s="283"/>
      <c r="J496" s="283"/>
      <c r="K496" s="283"/>
      <c r="L496" s="283"/>
      <c r="M496" s="283"/>
      <c r="N496" s="283"/>
      <c r="O496" s="283"/>
      <c r="P496" s="283"/>
      <c r="Q496" s="283"/>
      <c r="R496" s="283"/>
      <c r="S496" s="283"/>
      <c r="T496" s="283"/>
      <c r="U496" s="283"/>
      <c r="V496" s="283"/>
      <c r="W496" s="283"/>
      <c r="X496" s="283"/>
      <c r="Y496" s="283"/>
      <c r="Z496" s="283"/>
      <c r="AA496" s="283"/>
    </row>
    <row r="497" spans="1:27">
      <c r="A497" s="420"/>
      <c r="B497" s="283"/>
      <c r="C497" s="283"/>
      <c r="D497" s="283"/>
      <c r="E497" s="283"/>
      <c r="F497" s="283"/>
      <c r="G497" s="283"/>
      <c r="H497" s="283"/>
      <c r="I497" s="283"/>
      <c r="J497" s="283"/>
      <c r="K497" s="283"/>
      <c r="L497" s="283"/>
      <c r="M497" s="283"/>
      <c r="N497" s="283"/>
      <c r="O497" s="283"/>
      <c r="P497" s="283"/>
      <c r="Q497" s="283"/>
      <c r="R497" s="283"/>
      <c r="S497" s="283"/>
      <c r="T497" s="283"/>
      <c r="U497" s="283"/>
      <c r="V497" s="283"/>
      <c r="W497" s="283"/>
      <c r="X497" s="283"/>
      <c r="Y497" s="283"/>
      <c r="Z497" s="283"/>
      <c r="AA497" s="283"/>
    </row>
    <row r="498" spans="1:27">
      <c r="A498" s="420"/>
      <c r="B498" s="283"/>
      <c r="C498" s="283"/>
      <c r="D498" s="283"/>
      <c r="E498" s="283"/>
      <c r="F498" s="283"/>
      <c r="G498" s="283"/>
      <c r="H498" s="283"/>
      <c r="I498" s="283"/>
      <c r="J498" s="283"/>
      <c r="K498" s="283"/>
      <c r="L498" s="283"/>
      <c r="M498" s="283"/>
      <c r="N498" s="283"/>
      <c r="O498" s="283"/>
      <c r="P498" s="283"/>
      <c r="Q498" s="283"/>
      <c r="R498" s="283"/>
      <c r="S498" s="283"/>
      <c r="T498" s="283"/>
      <c r="U498" s="283"/>
      <c r="V498" s="283"/>
      <c r="W498" s="283"/>
      <c r="X498" s="283"/>
      <c r="Y498" s="283"/>
      <c r="Z498" s="283"/>
      <c r="AA498" s="283"/>
    </row>
    <row r="499" spans="1:27">
      <c r="A499" s="420"/>
      <c r="B499" s="283"/>
      <c r="C499" s="283"/>
      <c r="D499" s="283"/>
      <c r="E499" s="283"/>
      <c r="F499" s="283"/>
      <c r="G499" s="283"/>
      <c r="H499" s="283"/>
      <c r="I499" s="283"/>
      <c r="J499" s="283"/>
      <c r="K499" s="283"/>
      <c r="L499" s="283"/>
      <c r="M499" s="283"/>
      <c r="N499" s="283"/>
      <c r="O499" s="283"/>
      <c r="P499" s="283"/>
      <c r="Q499" s="283"/>
      <c r="R499" s="283"/>
      <c r="S499" s="283"/>
      <c r="T499" s="283"/>
      <c r="U499" s="283"/>
      <c r="V499" s="283"/>
      <c r="W499" s="283"/>
      <c r="X499" s="283"/>
      <c r="Y499" s="283"/>
      <c r="Z499" s="283"/>
      <c r="AA499" s="283"/>
    </row>
    <row r="500" spans="1:27">
      <c r="A500" s="420"/>
      <c r="B500" s="283"/>
      <c r="C500" s="283"/>
      <c r="D500" s="283"/>
      <c r="E500" s="283"/>
      <c r="F500" s="283"/>
      <c r="G500" s="283"/>
      <c r="H500" s="283"/>
      <c r="I500" s="283"/>
      <c r="J500" s="283"/>
      <c r="K500" s="283"/>
      <c r="L500" s="283"/>
      <c r="M500" s="283"/>
      <c r="N500" s="283"/>
      <c r="O500" s="283"/>
      <c r="P500" s="283"/>
      <c r="Q500" s="283"/>
      <c r="R500" s="283"/>
      <c r="S500" s="283"/>
      <c r="T500" s="283"/>
      <c r="U500" s="283"/>
      <c r="V500" s="283"/>
      <c r="W500" s="283"/>
      <c r="X500" s="283"/>
      <c r="Y500" s="283"/>
      <c r="Z500" s="283"/>
      <c r="AA500" s="283"/>
    </row>
    <row r="501" spans="1:27">
      <c r="A501" s="420"/>
      <c r="B501" s="283"/>
      <c r="C501" s="283"/>
      <c r="D501" s="283"/>
      <c r="E501" s="283"/>
      <c r="F501" s="283"/>
      <c r="G501" s="283"/>
      <c r="H501" s="283"/>
      <c r="I501" s="283"/>
      <c r="J501" s="283"/>
      <c r="K501" s="283"/>
      <c r="L501" s="283"/>
      <c r="M501" s="283"/>
      <c r="N501" s="283"/>
      <c r="O501" s="283"/>
      <c r="P501" s="283"/>
      <c r="Q501" s="283"/>
      <c r="R501" s="283"/>
      <c r="S501" s="283"/>
      <c r="T501" s="283"/>
      <c r="U501" s="283"/>
      <c r="V501" s="283"/>
      <c r="W501" s="283"/>
      <c r="X501" s="283"/>
      <c r="Y501" s="283"/>
      <c r="Z501" s="283"/>
      <c r="AA501" s="283"/>
    </row>
    <row r="502" spans="1:27">
      <c r="A502" s="420"/>
      <c r="B502" s="283"/>
      <c r="C502" s="283"/>
      <c r="D502" s="283"/>
      <c r="E502" s="283"/>
      <c r="F502" s="283"/>
      <c r="G502" s="283"/>
      <c r="H502" s="283"/>
      <c r="I502" s="283"/>
      <c r="J502" s="283"/>
      <c r="K502" s="283"/>
      <c r="L502" s="283"/>
      <c r="M502" s="283"/>
      <c r="N502" s="283"/>
      <c r="O502" s="283"/>
      <c r="P502" s="283"/>
      <c r="Q502" s="283"/>
      <c r="R502" s="283"/>
      <c r="S502" s="283"/>
      <c r="T502" s="283"/>
      <c r="U502" s="283"/>
      <c r="V502" s="283"/>
      <c r="W502" s="283"/>
      <c r="X502" s="283"/>
      <c r="Y502" s="283"/>
      <c r="Z502" s="283"/>
      <c r="AA502" s="283"/>
    </row>
    <row r="503" spans="1:27">
      <c r="A503" s="420"/>
      <c r="B503" s="283"/>
      <c r="C503" s="283"/>
      <c r="D503" s="283"/>
      <c r="E503" s="283"/>
      <c r="F503" s="283"/>
      <c r="G503" s="283"/>
      <c r="H503" s="283"/>
      <c r="I503" s="283"/>
      <c r="J503" s="283"/>
      <c r="K503" s="283"/>
      <c r="L503" s="283"/>
      <c r="M503" s="283"/>
      <c r="N503" s="283"/>
      <c r="O503" s="283"/>
      <c r="P503" s="283"/>
      <c r="Q503" s="283"/>
      <c r="R503" s="283"/>
      <c r="S503" s="283"/>
      <c r="T503" s="283"/>
      <c r="U503" s="283"/>
      <c r="V503" s="283"/>
      <c r="W503" s="283"/>
      <c r="X503" s="283"/>
      <c r="Y503" s="283"/>
      <c r="Z503" s="283"/>
      <c r="AA503" s="283"/>
    </row>
    <row r="504" spans="1:27">
      <c r="A504" s="420"/>
      <c r="B504" s="283"/>
      <c r="C504" s="283"/>
      <c r="D504" s="283"/>
      <c r="E504" s="283"/>
      <c r="F504" s="283"/>
      <c r="G504" s="283"/>
      <c r="H504" s="283"/>
      <c r="I504" s="283"/>
      <c r="J504" s="283"/>
      <c r="K504" s="283"/>
      <c r="L504" s="283"/>
      <c r="M504" s="283"/>
      <c r="N504" s="283"/>
      <c r="O504" s="283"/>
      <c r="P504" s="283"/>
      <c r="Q504" s="283"/>
      <c r="R504" s="283"/>
      <c r="S504" s="283"/>
      <c r="T504" s="283"/>
      <c r="U504" s="283"/>
      <c r="V504" s="283"/>
      <c r="W504" s="283"/>
      <c r="X504" s="283"/>
      <c r="Y504" s="283"/>
      <c r="Z504" s="283"/>
      <c r="AA504" s="283"/>
    </row>
    <row r="505" spans="1:27">
      <c r="A505" s="420"/>
      <c r="B505" s="283"/>
      <c r="C505" s="283"/>
      <c r="D505" s="283"/>
      <c r="E505" s="283"/>
      <c r="F505" s="283"/>
      <c r="G505" s="283"/>
      <c r="H505" s="283"/>
      <c r="I505" s="283"/>
      <c r="J505" s="283"/>
      <c r="K505" s="283"/>
      <c r="L505" s="283"/>
      <c r="M505" s="283"/>
      <c r="N505" s="283"/>
      <c r="O505" s="283"/>
      <c r="P505" s="283"/>
      <c r="Q505" s="283"/>
      <c r="R505" s="283"/>
      <c r="S505" s="283"/>
      <c r="T505" s="283"/>
      <c r="U505" s="283"/>
      <c r="V505" s="283"/>
      <c r="W505" s="283"/>
      <c r="X505" s="283"/>
      <c r="Y505" s="283"/>
      <c r="Z505" s="283"/>
      <c r="AA505" s="283"/>
    </row>
    <row r="506" spans="1:27">
      <c r="A506" s="420"/>
      <c r="B506" s="283"/>
      <c r="C506" s="283"/>
      <c r="D506" s="283"/>
      <c r="E506" s="283"/>
      <c r="F506" s="283"/>
      <c r="G506" s="283"/>
      <c r="H506" s="283"/>
      <c r="I506" s="283"/>
      <c r="J506" s="283"/>
      <c r="K506" s="283"/>
      <c r="L506" s="283"/>
      <c r="M506" s="283"/>
      <c r="N506" s="283"/>
      <c r="O506" s="283"/>
      <c r="P506" s="283"/>
      <c r="Q506" s="283"/>
      <c r="R506" s="283"/>
      <c r="S506" s="283"/>
      <c r="T506" s="283"/>
      <c r="U506" s="283"/>
      <c r="V506" s="283"/>
      <c r="W506" s="283"/>
      <c r="X506" s="283"/>
      <c r="Y506" s="283"/>
      <c r="Z506" s="283"/>
      <c r="AA506" s="283"/>
    </row>
    <row r="507" spans="1:27">
      <c r="A507" s="420"/>
      <c r="B507" s="283"/>
      <c r="C507" s="283"/>
      <c r="D507" s="283"/>
      <c r="E507" s="283"/>
      <c r="F507" s="283"/>
      <c r="G507" s="283"/>
      <c r="H507" s="283"/>
      <c r="I507" s="283"/>
      <c r="J507" s="283"/>
      <c r="K507" s="283"/>
      <c r="L507" s="283"/>
      <c r="M507" s="283"/>
      <c r="N507" s="283"/>
      <c r="O507" s="283"/>
      <c r="P507" s="283"/>
      <c r="Q507" s="283"/>
      <c r="R507" s="283"/>
      <c r="S507" s="283"/>
      <c r="T507" s="283"/>
      <c r="U507" s="283"/>
      <c r="V507" s="283"/>
      <c r="W507" s="283"/>
      <c r="X507" s="283"/>
      <c r="Y507" s="283"/>
      <c r="Z507" s="283"/>
      <c r="AA507" s="283"/>
    </row>
    <row r="508" spans="1:27">
      <c r="A508" s="420"/>
      <c r="B508" s="283"/>
      <c r="C508" s="283"/>
      <c r="D508" s="283"/>
      <c r="E508" s="283"/>
      <c r="F508" s="283"/>
      <c r="G508" s="283"/>
      <c r="H508" s="283"/>
      <c r="I508" s="283"/>
      <c r="J508" s="283"/>
      <c r="K508" s="283"/>
      <c r="L508" s="283"/>
      <c r="M508" s="283"/>
      <c r="N508" s="283"/>
      <c r="O508" s="283"/>
      <c r="P508" s="283"/>
      <c r="Q508" s="283"/>
      <c r="R508" s="283"/>
      <c r="S508" s="283"/>
      <c r="T508" s="283"/>
      <c r="U508" s="283"/>
      <c r="V508" s="283"/>
      <c r="W508" s="283"/>
      <c r="X508" s="283"/>
      <c r="Y508" s="283"/>
      <c r="Z508" s="283"/>
      <c r="AA508" s="283"/>
    </row>
    <row r="509" spans="1:27">
      <c r="A509" s="420"/>
      <c r="B509" s="283"/>
      <c r="C509" s="283"/>
      <c r="D509" s="283"/>
      <c r="E509" s="283"/>
      <c r="F509" s="283"/>
      <c r="G509" s="283"/>
      <c r="H509" s="283"/>
      <c r="I509" s="283"/>
      <c r="J509" s="283"/>
      <c r="K509" s="283"/>
      <c r="L509" s="283"/>
      <c r="M509" s="283"/>
      <c r="N509" s="283"/>
      <c r="O509" s="283"/>
      <c r="P509" s="283"/>
      <c r="Q509" s="283"/>
      <c r="R509" s="283"/>
      <c r="S509" s="283"/>
      <c r="T509" s="283"/>
      <c r="U509" s="283"/>
      <c r="V509" s="283"/>
      <c r="W509" s="283"/>
      <c r="X509" s="283"/>
      <c r="Y509" s="283"/>
      <c r="Z509" s="283"/>
      <c r="AA509" s="283"/>
    </row>
    <row r="510" spans="1:27">
      <c r="A510" s="420"/>
      <c r="B510" s="283"/>
      <c r="C510" s="283"/>
      <c r="D510" s="283"/>
      <c r="E510" s="283"/>
      <c r="F510" s="283"/>
      <c r="G510" s="283"/>
      <c r="H510" s="283"/>
      <c r="I510" s="283"/>
      <c r="J510" s="283"/>
      <c r="K510" s="283"/>
      <c r="L510" s="283"/>
      <c r="M510" s="283"/>
      <c r="N510" s="283"/>
      <c r="O510" s="283"/>
      <c r="P510" s="283"/>
      <c r="Q510" s="283"/>
      <c r="R510" s="283"/>
      <c r="S510" s="283"/>
      <c r="T510" s="283"/>
      <c r="U510" s="283"/>
      <c r="V510" s="283"/>
      <c r="W510" s="283"/>
      <c r="X510" s="283"/>
      <c r="Y510" s="283"/>
      <c r="Z510" s="283"/>
      <c r="AA510" s="283"/>
    </row>
    <row r="511" spans="1:27">
      <c r="A511" s="420"/>
      <c r="B511" s="283"/>
      <c r="C511" s="283"/>
      <c r="D511" s="283"/>
      <c r="E511" s="283"/>
      <c r="F511" s="283"/>
      <c r="G511" s="283"/>
      <c r="H511" s="283"/>
      <c r="I511" s="283"/>
      <c r="J511" s="283"/>
      <c r="K511" s="283"/>
      <c r="L511" s="283"/>
      <c r="M511" s="283"/>
      <c r="N511" s="283"/>
      <c r="O511" s="283"/>
      <c r="P511" s="283"/>
      <c r="Q511" s="283"/>
      <c r="R511" s="283"/>
      <c r="S511" s="283"/>
      <c r="T511" s="283"/>
      <c r="U511" s="283"/>
      <c r="V511" s="283"/>
      <c r="W511" s="283"/>
      <c r="X511" s="283"/>
      <c r="Y511" s="283"/>
      <c r="Z511" s="283"/>
      <c r="AA511" s="283"/>
    </row>
    <row r="512" spans="1:27">
      <c r="A512" s="420"/>
      <c r="B512" s="283"/>
      <c r="C512" s="283"/>
      <c r="D512" s="283"/>
      <c r="E512" s="283"/>
      <c r="F512" s="283"/>
      <c r="G512" s="283"/>
      <c r="H512" s="283"/>
      <c r="I512" s="283"/>
      <c r="J512" s="283"/>
      <c r="K512" s="283"/>
      <c r="L512" s="283"/>
      <c r="M512" s="283"/>
      <c r="N512" s="283"/>
      <c r="O512" s="283"/>
      <c r="P512" s="283"/>
      <c r="Q512" s="283"/>
      <c r="R512" s="283"/>
      <c r="S512" s="283"/>
      <c r="T512" s="283"/>
      <c r="U512" s="283"/>
      <c r="V512" s="283"/>
      <c r="W512" s="283"/>
      <c r="X512" s="283"/>
      <c r="Y512" s="283"/>
      <c r="Z512" s="283"/>
      <c r="AA512" s="283"/>
    </row>
    <row r="513" spans="1:27">
      <c r="A513" s="420"/>
      <c r="B513" s="283"/>
      <c r="C513" s="283"/>
      <c r="D513" s="283"/>
      <c r="E513" s="283"/>
      <c r="F513" s="283"/>
      <c r="G513" s="283"/>
      <c r="H513" s="283"/>
      <c r="I513" s="283"/>
      <c r="J513" s="283"/>
      <c r="K513" s="283"/>
      <c r="L513" s="283"/>
      <c r="M513" s="283"/>
      <c r="N513" s="283"/>
      <c r="O513" s="283"/>
      <c r="P513" s="283"/>
      <c r="Q513" s="283"/>
      <c r="R513" s="283"/>
      <c r="S513" s="283"/>
      <c r="T513" s="283"/>
      <c r="U513" s="283"/>
      <c r="V513" s="283"/>
      <c r="W513" s="283"/>
      <c r="X513" s="283"/>
      <c r="Y513" s="283"/>
      <c r="Z513" s="283"/>
      <c r="AA513" s="283"/>
    </row>
    <row r="514" spans="1:27">
      <c r="A514" s="420"/>
      <c r="B514" s="283"/>
      <c r="C514" s="283"/>
      <c r="D514" s="283"/>
      <c r="E514" s="283"/>
      <c r="F514" s="283"/>
      <c r="G514" s="283"/>
      <c r="H514" s="283"/>
      <c r="I514" s="283"/>
      <c r="J514" s="283"/>
      <c r="K514" s="283"/>
      <c r="L514" s="283"/>
      <c r="M514" s="283"/>
      <c r="N514" s="283"/>
      <c r="O514" s="283"/>
      <c r="P514" s="283"/>
      <c r="Q514" s="283"/>
      <c r="R514" s="283"/>
      <c r="S514" s="283"/>
      <c r="T514" s="283"/>
      <c r="U514" s="283"/>
      <c r="V514" s="283"/>
      <c r="W514" s="283"/>
      <c r="X514" s="283"/>
      <c r="Y514" s="283"/>
      <c r="Z514" s="283"/>
      <c r="AA514" s="283"/>
    </row>
    <row r="515" spans="1:27">
      <c r="A515" s="420"/>
      <c r="B515" s="283"/>
      <c r="C515" s="283"/>
      <c r="D515" s="283"/>
      <c r="E515" s="283"/>
      <c r="F515" s="283"/>
      <c r="G515" s="283"/>
      <c r="H515" s="283"/>
      <c r="I515" s="283"/>
      <c r="J515" s="283"/>
      <c r="K515" s="283"/>
      <c r="L515" s="283"/>
      <c r="M515" s="283"/>
      <c r="N515" s="283"/>
      <c r="O515" s="283"/>
      <c r="P515" s="283"/>
      <c r="Q515" s="283"/>
      <c r="R515" s="283"/>
      <c r="S515" s="283"/>
      <c r="T515" s="283"/>
      <c r="U515" s="283"/>
      <c r="V515" s="283"/>
      <c r="W515" s="283"/>
      <c r="X515" s="283"/>
      <c r="Y515" s="283"/>
      <c r="Z515" s="283"/>
      <c r="AA515" s="283"/>
    </row>
    <row r="516" spans="1:27">
      <c r="A516" s="420"/>
      <c r="B516" s="283"/>
      <c r="C516" s="283"/>
      <c r="D516" s="283"/>
      <c r="E516" s="283"/>
      <c r="F516" s="283"/>
      <c r="G516" s="283"/>
      <c r="H516" s="283"/>
      <c r="I516" s="283"/>
      <c r="J516" s="283"/>
      <c r="K516" s="283"/>
      <c r="L516" s="283"/>
      <c r="M516" s="283"/>
      <c r="N516" s="283"/>
      <c r="O516" s="283"/>
      <c r="P516" s="283"/>
      <c r="Q516" s="283"/>
      <c r="R516" s="283"/>
      <c r="S516" s="283"/>
      <c r="T516" s="283"/>
      <c r="U516" s="283"/>
      <c r="V516" s="283"/>
      <c r="W516" s="283"/>
      <c r="X516" s="283"/>
      <c r="Y516" s="283"/>
      <c r="Z516" s="283"/>
      <c r="AA516" s="283"/>
    </row>
    <row r="517" spans="1:27">
      <c r="A517" s="420"/>
      <c r="B517" s="283"/>
      <c r="C517" s="283"/>
      <c r="D517" s="283"/>
      <c r="E517" s="283"/>
      <c r="F517" s="283"/>
      <c r="G517" s="283"/>
      <c r="H517" s="283"/>
      <c r="I517" s="283"/>
      <c r="J517" s="283"/>
      <c r="K517" s="283"/>
      <c r="L517" s="283"/>
      <c r="M517" s="283"/>
      <c r="N517" s="283"/>
      <c r="O517" s="283"/>
      <c r="P517" s="283"/>
      <c r="Q517" s="283"/>
      <c r="R517" s="283"/>
      <c r="S517" s="283"/>
      <c r="T517" s="283"/>
      <c r="U517" s="283"/>
      <c r="V517" s="283"/>
      <c r="W517" s="283"/>
      <c r="X517" s="283"/>
      <c r="Y517" s="283"/>
      <c r="Z517" s="283"/>
      <c r="AA517" s="283"/>
    </row>
    <row r="518" spans="1:27">
      <c r="A518" s="420"/>
      <c r="B518" s="283"/>
      <c r="C518" s="283"/>
      <c r="D518" s="283"/>
      <c r="E518" s="283"/>
      <c r="F518" s="283"/>
      <c r="G518" s="283"/>
      <c r="H518" s="283"/>
      <c r="I518" s="283"/>
      <c r="J518" s="283"/>
      <c r="K518" s="283"/>
      <c r="L518" s="283"/>
      <c r="M518" s="283"/>
      <c r="N518" s="283"/>
      <c r="O518" s="283"/>
      <c r="P518" s="283"/>
      <c r="Q518" s="283"/>
      <c r="R518" s="283"/>
      <c r="S518" s="283"/>
      <c r="T518" s="283"/>
      <c r="U518" s="283"/>
      <c r="V518" s="283"/>
      <c r="W518" s="283"/>
      <c r="X518" s="283"/>
      <c r="Y518" s="283"/>
      <c r="Z518" s="283"/>
      <c r="AA518" s="283"/>
    </row>
    <row r="519" spans="1:27">
      <c r="A519" s="420"/>
      <c r="B519" s="283"/>
      <c r="C519" s="283"/>
      <c r="D519" s="283"/>
      <c r="E519" s="283"/>
      <c r="F519" s="283"/>
      <c r="G519" s="283"/>
      <c r="H519" s="283"/>
      <c r="I519" s="283"/>
      <c r="J519" s="283"/>
      <c r="K519" s="283"/>
      <c r="L519" s="283"/>
      <c r="M519" s="283"/>
      <c r="N519" s="283"/>
      <c r="O519" s="283"/>
      <c r="P519" s="283"/>
      <c r="Q519" s="283"/>
      <c r="R519" s="283"/>
      <c r="S519" s="283"/>
      <c r="T519" s="283"/>
      <c r="U519" s="283"/>
      <c r="V519" s="283"/>
      <c r="W519" s="283"/>
      <c r="X519" s="283"/>
      <c r="Y519" s="283"/>
      <c r="Z519" s="283"/>
      <c r="AA519" s="283"/>
    </row>
    <row r="520" spans="1:27">
      <c r="A520" s="420"/>
      <c r="B520" s="283"/>
      <c r="C520" s="283"/>
      <c r="D520" s="283"/>
      <c r="E520" s="283"/>
      <c r="F520" s="283"/>
      <c r="G520" s="283"/>
      <c r="H520" s="283"/>
      <c r="I520" s="283"/>
      <c r="J520" s="283"/>
      <c r="K520" s="283"/>
      <c r="L520" s="283"/>
      <c r="M520" s="283"/>
      <c r="N520" s="283"/>
      <c r="O520" s="283"/>
      <c r="P520" s="283"/>
      <c r="Q520" s="283"/>
      <c r="R520" s="283"/>
      <c r="S520" s="283"/>
      <c r="T520" s="283"/>
      <c r="U520" s="283"/>
      <c r="V520" s="283"/>
      <c r="W520" s="283"/>
      <c r="X520" s="283"/>
      <c r="Y520" s="283"/>
      <c r="Z520" s="283"/>
      <c r="AA520" s="283"/>
    </row>
    <row r="521" spans="1:27">
      <c r="A521" s="420"/>
      <c r="B521" s="283"/>
      <c r="C521" s="283"/>
      <c r="D521" s="283"/>
      <c r="E521" s="283"/>
      <c r="F521" s="283"/>
      <c r="G521" s="283"/>
      <c r="H521" s="283"/>
      <c r="I521" s="283"/>
      <c r="J521" s="283"/>
      <c r="K521" s="283"/>
      <c r="L521" s="283"/>
      <c r="M521" s="283"/>
      <c r="N521" s="283"/>
      <c r="O521" s="283"/>
      <c r="P521" s="283"/>
      <c r="Q521" s="283"/>
      <c r="R521" s="283"/>
      <c r="S521" s="283"/>
      <c r="T521" s="283"/>
      <c r="U521" s="283"/>
      <c r="V521" s="283"/>
      <c r="W521" s="283"/>
      <c r="X521" s="283"/>
      <c r="Y521" s="283"/>
      <c r="Z521" s="283"/>
      <c r="AA521" s="283"/>
    </row>
    <row r="522" spans="1:27">
      <c r="A522" s="420"/>
      <c r="B522" s="283"/>
      <c r="C522" s="283"/>
      <c r="D522" s="283"/>
      <c r="E522" s="283"/>
      <c r="F522" s="283"/>
      <c r="G522" s="283"/>
      <c r="H522" s="283"/>
      <c r="I522" s="283"/>
      <c r="J522" s="283"/>
      <c r="K522" s="283"/>
      <c r="L522" s="283"/>
      <c r="M522" s="283"/>
      <c r="N522" s="283"/>
      <c r="O522" s="283"/>
      <c r="P522" s="283"/>
      <c r="Q522" s="283"/>
      <c r="R522" s="283"/>
      <c r="S522" s="283"/>
      <c r="T522" s="283"/>
      <c r="U522" s="283"/>
      <c r="V522" s="283"/>
      <c r="W522" s="283"/>
      <c r="X522" s="283"/>
      <c r="Y522" s="283"/>
      <c r="Z522" s="283"/>
      <c r="AA522" s="283"/>
    </row>
    <row r="523" spans="1:27">
      <c r="A523" s="420"/>
      <c r="B523" s="283"/>
      <c r="C523" s="283"/>
      <c r="D523" s="283"/>
      <c r="E523" s="283"/>
      <c r="F523" s="283"/>
      <c r="G523" s="283"/>
      <c r="H523" s="283"/>
      <c r="I523" s="283"/>
      <c r="J523" s="283"/>
      <c r="K523" s="283"/>
      <c r="L523" s="283"/>
      <c r="M523" s="283"/>
      <c r="N523" s="283"/>
      <c r="O523" s="283"/>
      <c r="P523" s="283"/>
      <c r="Q523" s="283"/>
      <c r="R523" s="283"/>
      <c r="S523" s="283"/>
      <c r="T523" s="283"/>
      <c r="U523" s="283"/>
      <c r="V523" s="283"/>
      <c r="W523" s="283"/>
      <c r="X523" s="283"/>
      <c r="Y523" s="283"/>
      <c r="Z523" s="283"/>
      <c r="AA523" s="283"/>
    </row>
    <row r="524" spans="1:27">
      <c r="A524" s="420"/>
      <c r="B524" s="283"/>
      <c r="C524" s="283"/>
      <c r="D524" s="283"/>
      <c r="E524" s="283"/>
      <c r="F524" s="283"/>
      <c r="G524" s="283"/>
      <c r="H524" s="283"/>
      <c r="I524" s="283"/>
      <c r="J524" s="283"/>
      <c r="K524" s="283"/>
      <c r="L524" s="283"/>
      <c r="M524" s="283"/>
      <c r="N524" s="283"/>
      <c r="O524" s="283"/>
      <c r="P524" s="283"/>
      <c r="Q524" s="283"/>
      <c r="R524" s="283"/>
      <c r="S524" s="283"/>
      <c r="T524" s="283"/>
      <c r="U524" s="283"/>
      <c r="V524" s="283"/>
      <c r="W524" s="283"/>
      <c r="X524" s="283"/>
      <c r="Y524" s="283"/>
      <c r="Z524" s="283"/>
      <c r="AA524" s="283"/>
    </row>
    <row r="525" spans="1:27">
      <c r="A525" s="420"/>
      <c r="B525" s="283"/>
      <c r="C525" s="283"/>
      <c r="D525" s="283"/>
      <c r="E525" s="283"/>
      <c r="F525" s="283"/>
      <c r="G525" s="283"/>
      <c r="H525" s="283"/>
      <c r="I525" s="283"/>
      <c r="J525" s="283"/>
      <c r="K525" s="283"/>
      <c r="L525" s="283"/>
      <c r="M525" s="283"/>
      <c r="N525" s="283"/>
      <c r="O525" s="283"/>
      <c r="P525" s="283"/>
      <c r="Q525" s="283"/>
      <c r="R525" s="283"/>
      <c r="S525" s="283"/>
      <c r="T525" s="283"/>
      <c r="U525" s="283"/>
      <c r="V525" s="283"/>
      <c r="W525" s="283"/>
      <c r="X525" s="283"/>
      <c r="Y525" s="283"/>
      <c r="Z525" s="283"/>
      <c r="AA525" s="283"/>
    </row>
    <row r="526" spans="1:27">
      <c r="A526" s="420"/>
      <c r="B526" s="283"/>
      <c r="C526" s="283"/>
      <c r="D526" s="283"/>
      <c r="E526" s="283"/>
      <c r="F526" s="283"/>
      <c r="G526" s="283"/>
      <c r="H526" s="283"/>
      <c r="I526" s="283"/>
      <c r="J526" s="283"/>
      <c r="K526" s="283"/>
      <c r="L526" s="283"/>
      <c r="M526" s="283"/>
      <c r="N526" s="283"/>
      <c r="O526" s="283"/>
      <c r="P526" s="283"/>
      <c r="Q526" s="283"/>
      <c r="R526" s="283"/>
      <c r="S526" s="283"/>
      <c r="T526" s="283"/>
      <c r="U526" s="283"/>
      <c r="V526" s="283"/>
      <c r="W526" s="283"/>
      <c r="X526" s="283"/>
      <c r="Y526" s="283"/>
      <c r="Z526" s="283"/>
      <c r="AA526" s="283"/>
    </row>
    <row r="527" spans="1:27">
      <c r="A527" s="420"/>
      <c r="B527" s="283"/>
      <c r="C527" s="283"/>
      <c r="D527" s="283"/>
      <c r="E527" s="283"/>
      <c r="F527" s="283"/>
      <c r="G527" s="283"/>
      <c r="H527" s="283"/>
      <c r="I527" s="283"/>
      <c r="J527" s="283"/>
      <c r="K527" s="283"/>
      <c r="L527" s="283"/>
      <c r="M527" s="283"/>
      <c r="N527" s="283"/>
      <c r="O527" s="283"/>
      <c r="P527" s="283"/>
      <c r="Q527" s="283"/>
      <c r="R527" s="283"/>
      <c r="S527" s="283"/>
      <c r="T527" s="283"/>
      <c r="U527" s="283"/>
      <c r="V527" s="283"/>
      <c r="W527" s="283"/>
      <c r="X527" s="283"/>
      <c r="Y527" s="283"/>
      <c r="Z527" s="283"/>
      <c r="AA527" s="283"/>
    </row>
    <row r="528" spans="1:27">
      <c r="A528" s="420"/>
      <c r="B528" s="283"/>
      <c r="C528" s="283"/>
      <c r="D528" s="283"/>
      <c r="E528" s="283"/>
      <c r="F528" s="283"/>
      <c r="G528" s="283"/>
      <c r="H528" s="283"/>
      <c r="I528" s="283"/>
      <c r="J528" s="283"/>
      <c r="K528" s="283"/>
      <c r="L528" s="283"/>
      <c r="M528" s="283"/>
      <c r="N528" s="283"/>
      <c r="O528" s="283"/>
      <c r="P528" s="283"/>
      <c r="Q528" s="283"/>
      <c r="R528" s="283"/>
      <c r="S528" s="283"/>
      <c r="T528" s="283"/>
      <c r="U528" s="283"/>
      <c r="V528" s="283"/>
      <c r="W528" s="283"/>
      <c r="X528" s="283"/>
      <c r="Y528" s="283"/>
      <c r="Z528" s="283"/>
      <c r="AA528" s="283"/>
    </row>
    <row r="529" spans="1:27">
      <c r="A529" s="420"/>
      <c r="B529" s="283"/>
      <c r="C529" s="283"/>
      <c r="D529" s="283"/>
      <c r="E529" s="283"/>
      <c r="F529" s="283"/>
      <c r="G529" s="283"/>
      <c r="H529" s="283"/>
      <c r="I529" s="283"/>
      <c r="J529" s="283"/>
      <c r="K529" s="283"/>
      <c r="L529" s="283"/>
      <c r="M529" s="283"/>
      <c r="N529" s="283"/>
      <c r="O529" s="283"/>
      <c r="P529" s="283"/>
      <c r="Q529" s="283"/>
      <c r="R529" s="283"/>
      <c r="S529" s="283"/>
      <c r="T529" s="283"/>
      <c r="U529" s="283"/>
      <c r="V529" s="283"/>
      <c r="W529" s="283"/>
      <c r="X529" s="283"/>
      <c r="Y529" s="283"/>
      <c r="Z529" s="283"/>
      <c r="AA529" s="283"/>
    </row>
    <row r="530" spans="1:27">
      <c r="A530" s="420"/>
      <c r="B530" s="283"/>
      <c r="C530" s="283"/>
      <c r="D530" s="283"/>
      <c r="E530" s="283"/>
      <c r="F530" s="283"/>
      <c r="G530" s="283"/>
      <c r="H530" s="283"/>
      <c r="I530" s="283"/>
      <c r="J530" s="283"/>
      <c r="K530" s="283"/>
      <c r="L530" s="283"/>
      <c r="M530" s="283"/>
      <c r="N530" s="283"/>
      <c r="O530" s="283"/>
      <c r="P530" s="283"/>
      <c r="Q530" s="283"/>
      <c r="R530" s="283"/>
      <c r="S530" s="283"/>
      <c r="T530" s="283"/>
      <c r="U530" s="283"/>
      <c r="V530" s="283"/>
      <c r="W530" s="283"/>
      <c r="X530" s="283"/>
      <c r="Y530" s="283"/>
      <c r="Z530" s="283"/>
      <c r="AA530" s="283"/>
    </row>
    <row r="531" spans="1:27">
      <c r="A531" s="420"/>
      <c r="B531" s="283"/>
      <c r="C531" s="283"/>
      <c r="D531" s="283"/>
      <c r="E531" s="283"/>
      <c r="F531" s="283"/>
      <c r="G531" s="283"/>
      <c r="H531" s="283"/>
      <c r="I531" s="283"/>
      <c r="J531" s="283"/>
      <c r="K531" s="283"/>
      <c r="L531" s="283"/>
      <c r="M531" s="283"/>
      <c r="N531" s="283"/>
      <c r="O531" s="283"/>
      <c r="P531" s="283"/>
      <c r="Q531" s="283"/>
      <c r="R531" s="283"/>
      <c r="S531" s="283"/>
      <c r="T531" s="283"/>
      <c r="U531" s="283"/>
      <c r="V531" s="283"/>
      <c r="W531" s="283"/>
      <c r="X531" s="283"/>
      <c r="Y531" s="283"/>
      <c r="Z531" s="283"/>
      <c r="AA531" s="283"/>
    </row>
    <row r="532" spans="1:27">
      <c r="A532" s="420"/>
      <c r="B532" s="283"/>
      <c r="C532" s="283"/>
      <c r="D532" s="283"/>
      <c r="E532" s="283"/>
      <c r="F532" s="283"/>
      <c r="G532" s="283"/>
      <c r="H532" s="283"/>
      <c r="I532" s="283"/>
      <c r="J532" s="283"/>
      <c r="K532" s="283"/>
      <c r="L532" s="283"/>
      <c r="M532" s="283"/>
      <c r="N532" s="283"/>
      <c r="O532" s="283"/>
      <c r="P532" s="283"/>
      <c r="Q532" s="283"/>
      <c r="R532" s="283"/>
      <c r="S532" s="283"/>
      <c r="T532" s="283"/>
      <c r="U532" s="283"/>
      <c r="V532" s="283"/>
      <c r="W532" s="283"/>
      <c r="X532" s="283"/>
      <c r="Y532" s="283"/>
      <c r="Z532" s="283"/>
      <c r="AA532" s="283"/>
    </row>
    <row r="533" spans="1:27">
      <c r="A533" s="420"/>
      <c r="B533" s="283"/>
      <c r="C533" s="283"/>
      <c r="D533" s="283"/>
      <c r="E533" s="283"/>
      <c r="F533" s="283"/>
      <c r="G533" s="283"/>
      <c r="H533" s="283"/>
      <c r="I533" s="283"/>
      <c r="J533" s="283"/>
      <c r="K533" s="283"/>
      <c r="L533" s="283"/>
      <c r="M533" s="283"/>
      <c r="N533" s="283"/>
      <c r="O533" s="283"/>
      <c r="P533" s="283"/>
      <c r="Q533" s="283"/>
      <c r="R533" s="283"/>
      <c r="S533" s="283"/>
      <c r="T533" s="283"/>
      <c r="U533" s="283"/>
      <c r="V533" s="283"/>
      <c r="W533" s="283"/>
      <c r="X533" s="283"/>
      <c r="Y533" s="283"/>
      <c r="Z533" s="283"/>
      <c r="AA533" s="283"/>
    </row>
    <row r="534" spans="1:27">
      <c r="A534" s="420"/>
      <c r="B534" s="283"/>
      <c r="C534" s="283"/>
      <c r="D534" s="283"/>
      <c r="E534" s="283"/>
      <c r="F534" s="283"/>
      <c r="G534" s="283"/>
      <c r="H534" s="283"/>
      <c r="I534" s="283"/>
      <c r="J534" s="283"/>
      <c r="K534" s="283"/>
      <c r="L534" s="283"/>
      <c r="M534" s="283"/>
      <c r="N534" s="283"/>
      <c r="O534" s="283"/>
      <c r="P534" s="283"/>
      <c r="Q534" s="283"/>
      <c r="R534" s="283"/>
      <c r="S534" s="283"/>
      <c r="T534" s="283"/>
      <c r="U534" s="283"/>
      <c r="V534" s="283"/>
      <c r="W534" s="283"/>
      <c r="X534" s="283"/>
      <c r="Y534" s="283"/>
      <c r="Z534" s="283"/>
      <c r="AA534" s="283"/>
    </row>
    <row r="535" spans="1:27">
      <c r="A535" s="420"/>
      <c r="B535" s="283"/>
      <c r="C535" s="283"/>
      <c r="D535" s="283"/>
      <c r="E535" s="283"/>
      <c r="F535" s="283"/>
      <c r="G535" s="283"/>
      <c r="H535" s="283"/>
      <c r="I535" s="283"/>
      <c r="J535" s="283"/>
      <c r="K535" s="283"/>
      <c r="L535" s="283"/>
      <c r="M535" s="283"/>
      <c r="N535" s="283"/>
      <c r="O535" s="283"/>
      <c r="P535" s="283"/>
      <c r="Q535" s="283"/>
      <c r="R535" s="283"/>
      <c r="S535" s="283"/>
      <c r="T535" s="283"/>
      <c r="U535" s="283"/>
      <c r="V535" s="283"/>
      <c r="W535" s="283"/>
      <c r="X535" s="283"/>
      <c r="Y535" s="283"/>
      <c r="Z535" s="283"/>
      <c r="AA535" s="283"/>
    </row>
    <row r="536" spans="1:27">
      <c r="A536" s="420"/>
      <c r="B536" s="283"/>
      <c r="C536" s="283"/>
      <c r="D536" s="283"/>
      <c r="E536" s="283"/>
      <c r="F536" s="283"/>
      <c r="G536" s="283"/>
      <c r="H536" s="283"/>
      <c r="I536" s="283"/>
      <c r="J536" s="283"/>
      <c r="K536" s="283"/>
      <c r="L536" s="283"/>
      <c r="M536" s="283"/>
      <c r="N536" s="283"/>
      <c r="O536" s="283"/>
      <c r="P536" s="283"/>
      <c r="Q536" s="283"/>
      <c r="R536" s="283"/>
      <c r="S536" s="283"/>
      <c r="T536" s="283"/>
      <c r="U536" s="283"/>
      <c r="V536" s="283"/>
      <c r="W536" s="283"/>
      <c r="X536" s="283"/>
      <c r="Y536" s="283"/>
      <c r="Z536" s="283"/>
      <c r="AA536" s="283"/>
    </row>
    <row r="537" spans="1:27">
      <c r="A537" s="420"/>
      <c r="B537" s="283"/>
      <c r="C537" s="283"/>
      <c r="D537" s="283"/>
      <c r="E537" s="283"/>
      <c r="F537" s="283"/>
      <c r="G537" s="283"/>
      <c r="H537" s="283"/>
      <c r="I537" s="283"/>
      <c r="J537" s="283"/>
      <c r="K537" s="283"/>
      <c r="L537" s="283"/>
      <c r="M537" s="283"/>
      <c r="N537" s="283"/>
      <c r="O537" s="283"/>
      <c r="P537" s="283"/>
      <c r="Q537" s="283"/>
      <c r="R537" s="283"/>
      <c r="S537" s="283"/>
      <c r="T537" s="283"/>
      <c r="U537" s="283"/>
      <c r="V537" s="283"/>
      <c r="W537" s="283"/>
      <c r="X537" s="283"/>
      <c r="Y537" s="283"/>
      <c r="Z537" s="283"/>
      <c r="AA537" s="283"/>
    </row>
    <row r="538" spans="1:27">
      <c r="A538" s="420"/>
      <c r="B538" s="283"/>
      <c r="C538" s="283"/>
      <c r="D538" s="283"/>
      <c r="E538" s="283"/>
      <c r="F538" s="283"/>
      <c r="G538" s="283"/>
      <c r="H538" s="283"/>
      <c r="I538" s="283"/>
      <c r="J538" s="283"/>
      <c r="K538" s="283"/>
      <c r="L538" s="283"/>
      <c r="M538" s="283"/>
      <c r="N538" s="283"/>
      <c r="O538" s="283"/>
      <c r="P538" s="283"/>
      <c r="Q538" s="283"/>
      <c r="R538" s="283"/>
      <c r="S538" s="283"/>
      <c r="T538" s="283"/>
      <c r="U538" s="283"/>
      <c r="V538" s="283"/>
      <c r="W538" s="283"/>
      <c r="X538" s="283"/>
      <c r="Y538" s="283"/>
      <c r="Z538" s="283"/>
      <c r="AA538" s="283"/>
    </row>
    <row r="539" spans="1:27">
      <c r="A539" s="420"/>
      <c r="B539" s="283"/>
      <c r="C539" s="283"/>
      <c r="D539" s="283"/>
      <c r="E539" s="283"/>
      <c r="F539" s="283"/>
      <c r="G539" s="283"/>
      <c r="H539" s="283"/>
      <c r="I539" s="283"/>
      <c r="J539" s="283"/>
      <c r="K539" s="283"/>
      <c r="L539" s="283"/>
      <c r="M539" s="283"/>
      <c r="N539" s="283"/>
      <c r="O539" s="283"/>
      <c r="P539" s="283"/>
      <c r="Q539" s="283"/>
      <c r="R539" s="283"/>
      <c r="S539" s="283"/>
      <c r="T539" s="283"/>
      <c r="U539" s="283"/>
      <c r="V539" s="283"/>
      <c r="W539" s="283"/>
      <c r="X539" s="283"/>
      <c r="Y539" s="283"/>
      <c r="Z539" s="283"/>
      <c r="AA539" s="283"/>
    </row>
    <row r="540" spans="1:27">
      <c r="A540" s="420"/>
      <c r="B540" s="283"/>
      <c r="C540" s="283"/>
      <c r="D540" s="283"/>
      <c r="E540" s="283"/>
      <c r="F540" s="283"/>
      <c r="G540" s="283"/>
      <c r="H540" s="283"/>
      <c r="I540" s="283"/>
      <c r="J540" s="283"/>
      <c r="K540" s="283"/>
      <c r="L540" s="283"/>
      <c r="M540" s="283"/>
      <c r="N540" s="283"/>
      <c r="O540" s="283"/>
      <c r="P540" s="283"/>
      <c r="Q540" s="283"/>
      <c r="R540" s="283"/>
      <c r="S540" s="283"/>
      <c r="T540" s="283"/>
      <c r="U540" s="283"/>
      <c r="V540" s="283"/>
      <c r="W540" s="283"/>
      <c r="X540" s="283"/>
      <c r="Y540" s="283"/>
      <c r="Z540" s="283"/>
      <c r="AA540" s="283"/>
    </row>
    <row r="541" spans="1:27">
      <c r="A541" s="420"/>
      <c r="B541" s="283"/>
      <c r="C541" s="283"/>
      <c r="D541" s="283"/>
      <c r="E541" s="283"/>
      <c r="F541" s="283"/>
      <c r="G541" s="283"/>
      <c r="H541" s="283"/>
      <c r="I541" s="283"/>
      <c r="J541" s="283"/>
      <c r="K541" s="283"/>
      <c r="L541" s="283"/>
      <c r="M541" s="283"/>
      <c r="N541" s="283"/>
      <c r="O541" s="283"/>
      <c r="P541" s="283"/>
      <c r="Q541" s="283"/>
      <c r="R541" s="283"/>
      <c r="S541" s="283"/>
      <c r="T541" s="283"/>
      <c r="U541" s="283"/>
      <c r="V541" s="283"/>
      <c r="W541" s="283"/>
      <c r="X541" s="283"/>
      <c r="Y541" s="283"/>
      <c r="Z541" s="283"/>
      <c r="AA541" s="283"/>
    </row>
    <row r="542" spans="1:27">
      <c r="A542" s="420"/>
      <c r="B542" s="283"/>
      <c r="C542" s="283"/>
      <c r="D542" s="283"/>
      <c r="E542" s="283"/>
      <c r="F542" s="283"/>
      <c r="G542" s="283"/>
      <c r="H542" s="283"/>
      <c r="I542" s="283"/>
      <c r="J542" s="283"/>
      <c r="K542" s="283"/>
      <c r="L542" s="283"/>
      <c r="M542" s="283"/>
      <c r="N542" s="283"/>
      <c r="O542" s="283"/>
      <c r="P542" s="283"/>
      <c r="Q542" s="283"/>
      <c r="R542" s="283"/>
      <c r="S542" s="283"/>
      <c r="T542" s="283"/>
      <c r="U542" s="283"/>
      <c r="V542" s="283"/>
      <c r="W542" s="283"/>
      <c r="X542" s="283"/>
      <c r="Y542" s="283"/>
      <c r="Z542" s="283"/>
      <c r="AA542" s="283"/>
    </row>
    <row r="543" spans="1:27">
      <c r="A543" s="420"/>
      <c r="B543" s="283"/>
      <c r="C543" s="283"/>
      <c r="D543" s="283"/>
      <c r="E543" s="283"/>
      <c r="F543" s="283"/>
      <c r="G543" s="283"/>
      <c r="H543" s="283"/>
      <c r="I543" s="283"/>
      <c r="J543" s="283"/>
      <c r="K543" s="283"/>
      <c r="L543" s="283"/>
      <c r="M543" s="283"/>
      <c r="N543" s="283"/>
      <c r="O543" s="283"/>
      <c r="P543" s="283"/>
      <c r="Q543" s="283"/>
      <c r="R543" s="283"/>
      <c r="S543" s="283"/>
      <c r="T543" s="283"/>
      <c r="U543" s="283"/>
      <c r="V543" s="283"/>
      <c r="W543" s="283"/>
      <c r="X543" s="283"/>
      <c r="Y543" s="283"/>
      <c r="Z543" s="283"/>
      <c r="AA543" s="283"/>
    </row>
    <row r="544" spans="1:27">
      <c r="A544" s="420"/>
      <c r="B544" s="283"/>
      <c r="C544" s="283"/>
      <c r="D544" s="283"/>
      <c r="E544" s="283"/>
      <c r="F544" s="283"/>
      <c r="G544" s="283"/>
      <c r="H544" s="283"/>
      <c r="I544" s="283"/>
      <c r="J544" s="283"/>
      <c r="K544" s="283"/>
      <c r="L544" s="283"/>
      <c r="M544" s="283"/>
      <c r="N544" s="283"/>
      <c r="O544" s="283"/>
      <c r="P544" s="283"/>
      <c r="Q544" s="283"/>
      <c r="R544" s="283"/>
      <c r="S544" s="283"/>
      <c r="T544" s="283"/>
      <c r="U544" s="283"/>
      <c r="V544" s="283"/>
      <c r="W544" s="283"/>
      <c r="X544" s="283"/>
      <c r="Y544" s="283"/>
      <c r="Z544" s="283"/>
      <c r="AA544" s="283"/>
    </row>
    <row r="545" spans="1:27">
      <c r="A545" s="420"/>
      <c r="B545" s="283"/>
      <c r="C545" s="283"/>
      <c r="D545" s="283"/>
      <c r="E545" s="283"/>
      <c r="F545" s="283"/>
      <c r="G545" s="283"/>
      <c r="H545" s="283"/>
      <c r="I545" s="283"/>
      <c r="J545" s="283"/>
      <c r="K545" s="283"/>
      <c r="L545" s="283"/>
      <c r="M545" s="283"/>
      <c r="N545" s="283"/>
      <c r="O545" s="283"/>
      <c r="P545" s="283"/>
      <c r="Q545" s="283"/>
      <c r="R545" s="283"/>
      <c r="S545" s="283"/>
      <c r="T545" s="283"/>
      <c r="U545" s="283"/>
      <c r="V545" s="283"/>
      <c r="W545" s="283"/>
      <c r="X545" s="283"/>
      <c r="Y545" s="283"/>
      <c r="Z545" s="283"/>
      <c r="AA545" s="283"/>
    </row>
    <row r="546" spans="1:27">
      <c r="A546" s="420"/>
      <c r="B546" s="283"/>
      <c r="C546" s="283"/>
      <c r="D546" s="283"/>
      <c r="E546" s="283"/>
      <c r="F546" s="283"/>
      <c r="G546" s="283"/>
      <c r="H546" s="283"/>
      <c r="I546" s="283"/>
      <c r="J546" s="283"/>
      <c r="K546" s="283"/>
      <c r="L546" s="283"/>
      <c r="M546" s="283"/>
      <c r="N546" s="283"/>
      <c r="O546" s="283"/>
      <c r="P546" s="283"/>
      <c r="Q546" s="283"/>
      <c r="R546" s="283"/>
      <c r="S546" s="283"/>
      <c r="T546" s="283"/>
      <c r="U546" s="283"/>
      <c r="V546" s="283"/>
      <c r="W546" s="283"/>
      <c r="X546" s="283"/>
      <c r="Y546" s="283"/>
      <c r="Z546" s="283"/>
      <c r="AA546" s="283"/>
    </row>
    <row r="547" spans="1:27">
      <c r="A547" s="420"/>
      <c r="B547" s="283"/>
      <c r="C547" s="283"/>
      <c r="D547" s="283"/>
      <c r="E547" s="283"/>
      <c r="F547" s="283"/>
      <c r="G547" s="283"/>
      <c r="H547" s="283"/>
      <c r="I547" s="283"/>
      <c r="J547" s="283"/>
      <c r="K547" s="283"/>
      <c r="L547" s="283"/>
      <c r="M547" s="283"/>
      <c r="N547" s="283"/>
      <c r="O547" s="283"/>
      <c r="P547" s="283"/>
      <c r="Q547" s="283"/>
      <c r="R547" s="283"/>
      <c r="S547" s="283"/>
      <c r="T547" s="283"/>
      <c r="U547" s="283"/>
      <c r="V547" s="283"/>
      <c r="W547" s="283"/>
      <c r="X547" s="283"/>
      <c r="Y547" s="283"/>
      <c r="Z547" s="283"/>
      <c r="AA547" s="283"/>
    </row>
    <row r="548" spans="1:27">
      <c r="A548" s="420"/>
      <c r="B548" s="283"/>
      <c r="C548" s="283"/>
      <c r="D548" s="283"/>
      <c r="E548" s="283"/>
      <c r="F548" s="283"/>
      <c r="G548" s="283"/>
      <c r="H548" s="283"/>
      <c r="I548" s="283"/>
      <c r="J548" s="283"/>
      <c r="K548" s="283"/>
      <c r="L548" s="283"/>
      <c r="M548" s="283"/>
      <c r="N548" s="283"/>
      <c r="O548" s="283"/>
      <c r="P548" s="283"/>
      <c r="Q548" s="283"/>
      <c r="R548" s="283"/>
      <c r="S548" s="283"/>
      <c r="T548" s="283"/>
      <c r="U548" s="283"/>
      <c r="V548" s="283"/>
      <c r="W548" s="283"/>
      <c r="X548" s="283"/>
      <c r="Y548" s="283"/>
      <c r="Z548" s="283"/>
      <c r="AA548" s="283"/>
    </row>
    <row r="549" spans="1:27">
      <c r="A549" s="420"/>
      <c r="B549" s="283"/>
      <c r="C549" s="283"/>
      <c r="D549" s="283"/>
      <c r="E549" s="283"/>
      <c r="F549" s="283"/>
      <c r="G549" s="283"/>
      <c r="H549" s="283"/>
      <c r="I549" s="283"/>
      <c r="J549" s="283"/>
      <c r="K549" s="283"/>
      <c r="L549" s="283"/>
      <c r="M549" s="283"/>
      <c r="N549" s="283"/>
      <c r="O549" s="283"/>
      <c r="P549" s="283"/>
      <c r="Q549" s="283"/>
      <c r="R549" s="283"/>
      <c r="S549" s="283"/>
      <c r="T549" s="283"/>
      <c r="U549" s="283"/>
      <c r="V549" s="283"/>
      <c r="W549" s="283"/>
      <c r="X549" s="283"/>
      <c r="Y549" s="283"/>
      <c r="Z549" s="283"/>
      <c r="AA549" s="283"/>
    </row>
    <row r="550" spans="1:27">
      <c r="A550" s="420"/>
      <c r="B550" s="283"/>
      <c r="C550" s="283"/>
      <c r="D550" s="283"/>
      <c r="E550" s="283"/>
      <c r="F550" s="283"/>
      <c r="G550" s="283"/>
      <c r="H550" s="283"/>
      <c r="I550" s="283"/>
      <c r="J550" s="283"/>
      <c r="K550" s="283"/>
      <c r="L550" s="283"/>
      <c r="M550" s="283"/>
      <c r="N550" s="283"/>
      <c r="O550" s="283"/>
      <c r="P550" s="283"/>
      <c r="Q550" s="283"/>
      <c r="R550" s="283"/>
      <c r="S550" s="283"/>
      <c r="T550" s="283"/>
      <c r="U550" s="283"/>
      <c r="V550" s="283"/>
      <c r="W550" s="283"/>
      <c r="X550" s="283"/>
      <c r="Y550" s="283"/>
      <c r="Z550" s="283"/>
      <c r="AA550" s="283"/>
    </row>
    <row r="551" spans="1:27">
      <c r="A551" s="420"/>
      <c r="B551" s="283"/>
      <c r="C551" s="283"/>
      <c r="D551" s="283"/>
      <c r="E551" s="283"/>
      <c r="F551" s="283"/>
      <c r="G551" s="283"/>
      <c r="H551" s="283"/>
      <c r="I551" s="283"/>
      <c r="J551" s="283"/>
      <c r="K551" s="283"/>
      <c r="L551" s="283"/>
      <c r="M551" s="283"/>
      <c r="N551" s="283"/>
      <c r="O551" s="283"/>
      <c r="P551" s="283"/>
      <c r="Q551" s="283"/>
      <c r="R551" s="283"/>
      <c r="S551" s="283"/>
      <c r="T551" s="283"/>
      <c r="U551" s="283"/>
      <c r="V551" s="283"/>
      <c r="W551" s="283"/>
      <c r="X551" s="283"/>
      <c r="Y551" s="283"/>
      <c r="Z551" s="283"/>
      <c r="AA551" s="283"/>
    </row>
    <row r="552" spans="1:27">
      <c r="A552" s="420"/>
      <c r="B552" s="283"/>
      <c r="C552" s="283"/>
      <c r="D552" s="283"/>
      <c r="E552" s="283"/>
      <c r="F552" s="283"/>
      <c r="G552" s="283"/>
      <c r="H552" s="283"/>
      <c r="I552" s="283"/>
      <c r="J552" s="283"/>
      <c r="K552" s="283"/>
      <c r="L552" s="283"/>
      <c r="M552" s="283"/>
      <c r="N552" s="283"/>
      <c r="O552" s="283"/>
      <c r="P552" s="283"/>
      <c r="Q552" s="283"/>
      <c r="R552" s="283"/>
      <c r="S552" s="283"/>
      <c r="T552" s="283"/>
      <c r="U552" s="283"/>
      <c r="V552" s="283"/>
      <c r="W552" s="283"/>
      <c r="X552" s="283"/>
      <c r="Y552" s="283"/>
      <c r="Z552" s="283"/>
      <c r="AA552" s="283"/>
    </row>
    <row r="553" spans="1:27">
      <c r="A553" s="420"/>
      <c r="B553" s="283"/>
      <c r="C553" s="283"/>
      <c r="D553" s="283"/>
      <c r="E553" s="283"/>
      <c r="F553" s="283"/>
      <c r="G553" s="283"/>
      <c r="H553" s="283"/>
      <c r="I553" s="283"/>
      <c r="J553" s="283"/>
      <c r="K553" s="283"/>
      <c r="L553" s="283"/>
      <c r="M553" s="283"/>
      <c r="N553" s="283"/>
      <c r="O553" s="283"/>
      <c r="P553" s="283"/>
      <c r="Q553" s="283"/>
      <c r="R553" s="283"/>
      <c r="S553" s="283"/>
      <c r="T553" s="283"/>
      <c r="U553" s="283"/>
      <c r="V553" s="283"/>
      <c r="W553" s="283"/>
      <c r="X553" s="283"/>
      <c r="Y553" s="283"/>
      <c r="Z553" s="283"/>
      <c r="AA553" s="283"/>
    </row>
    <row r="554" spans="1:27">
      <c r="A554" s="420"/>
      <c r="B554" s="283"/>
      <c r="C554" s="283"/>
      <c r="D554" s="283"/>
      <c r="E554" s="283"/>
      <c r="F554" s="283"/>
      <c r="G554" s="283"/>
      <c r="H554" s="283"/>
      <c r="I554" s="283"/>
      <c r="J554" s="283"/>
      <c r="K554" s="283"/>
      <c r="L554" s="283"/>
      <c r="M554" s="283"/>
      <c r="N554" s="283"/>
      <c r="O554" s="283"/>
      <c r="P554" s="283"/>
      <c r="Q554" s="283"/>
      <c r="R554" s="283"/>
      <c r="S554" s="283"/>
      <c r="T554" s="283"/>
      <c r="U554" s="283"/>
      <c r="V554" s="283"/>
      <c r="W554" s="283"/>
      <c r="X554" s="283"/>
      <c r="Y554" s="283"/>
      <c r="Z554" s="283"/>
      <c r="AA554" s="283"/>
    </row>
    <row r="555" spans="1:27">
      <c r="A555" s="420"/>
      <c r="B555" s="283"/>
      <c r="C555" s="283"/>
      <c r="D555" s="283"/>
      <c r="E555" s="283"/>
      <c r="F555" s="283"/>
      <c r="G555" s="283"/>
      <c r="H555" s="283"/>
      <c r="I555" s="283"/>
      <c r="J555" s="283"/>
      <c r="K555" s="283"/>
      <c r="L555" s="283"/>
      <c r="M555" s="283"/>
      <c r="N555" s="283"/>
      <c r="O555" s="283"/>
      <c r="P555" s="283"/>
      <c r="Q555" s="283"/>
      <c r="R555" s="283"/>
      <c r="S555" s="283"/>
      <c r="T555" s="283"/>
      <c r="U555" s="283"/>
      <c r="V555" s="283"/>
      <c r="W555" s="283"/>
      <c r="X555" s="283"/>
      <c r="Y555" s="283"/>
      <c r="Z555" s="283"/>
      <c r="AA555" s="283"/>
    </row>
    <row r="556" spans="1:27">
      <c r="A556" s="420"/>
      <c r="B556" s="283"/>
      <c r="C556" s="283"/>
      <c r="D556" s="283"/>
      <c r="E556" s="283"/>
      <c r="F556" s="283"/>
      <c r="G556" s="283"/>
      <c r="H556" s="283"/>
      <c r="I556" s="283"/>
      <c r="J556" s="283"/>
      <c r="K556" s="283"/>
      <c r="L556" s="283"/>
      <c r="M556" s="283"/>
      <c r="N556" s="283"/>
      <c r="O556" s="283"/>
      <c r="P556" s="283"/>
      <c r="Q556" s="283"/>
      <c r="R556" s="283"/>
      <c r="S556" s="283"/>
      <c r="T556" s="283"/>
      <c r="U556" s="283"/>
      <c r="V556" s="283"/>
      <c r="W556" s="283"/>
      <c r="X556" s="283"/>
      <c r="Y556" s="283"/>
      <c r="Z556" s="283"/>
      <c r="AA556" s="283"/>
    </row>
    <row r="557" spans="1:27">
      <c r="A557" s="420"/>
      <c r="B557" s="283"/>
      <c r="C557" s="283"/>
      <c r="D557" s="283"/>
      <c r="E557" s="283"/>
      <c r="F557" s="283"/>
      <c r="G557" s="283"/>
      <c r="H557" s="283"/>
      <c r="I557" s="283"/>
      <c r="J557" s="283"/>
      <c r="K557" s="283"/>
      <c r="L557" s="283"/>
      <c r="M557" s="283"/>
      <c r="N557" s="283"/>
      <c r="O557" s="283"/>
      <c r="P557" s="283"/>
      <c r="Q557" s="283"/>
      <c r="R557" s="283"/>
      <c r="S557" s="283"/>
      <c r="T557" s="283"/>
      <c r="U557" s="283"/>
      <c r="V557" s="283"/>
      <c r="W557" s="283"/>
      <c r="X557" s="283"/>
      <c r="Y557" s="283"/>
      <c r="Z557" s="283"/>
      <c r="AA557" s="283"/>
    </row>
    <row r="558" spans="1:27">
      <c r="A558" s="420"/>
      <c r="B558" s="283"/>
      <c r="C558" s="283"/>
      <c r="D558" s="283"/>
      <c r="E558" s="283"/>
      <c r="F558" s="283"/>
      <c r="G558" s="283"/>
      <c r="H558" s="283"/>
      <c r="I558" s="283"/>
      <c r="J558" s="283"/>
      <c r="K558" s="283"/>
      <c r="L558" s="283"/>
      <c r="M558" s="283"/>
      <c r="N558" s="283"/>
      <c r="O558" s="283"/>
      <c r="P558" s="283"/>
      <c r="Q558" s="283"/>
      <c r="R558" s="283"/>
      <c r="S558" s="283"/>
      <c r="T558" s="283"/>
      <c r="U558" s="283"/>
      <c r="V558" s="283"/>
      <c r="W558" s="283"/>
      <c r="X558" s="283"/>
      <c r="Y558" s="283"/>
      <c r="Z558" s="283"/>
      <c r="AA558" s="283"/>
    </row>
    <row r="559" spans="1:27">
      <c r="A559" s="420"/>
      <c r="B559" s="283"/>
      <c r="C559" s="283"/>
      <c r="D559" s="283"/>
      <c r="E559" s="283"/>
      <c r="F559" s="283"/>
      <c r="G559" s="283"/>
      <c r="H559" s="283"/>
      <c r="I559" s="283"/>
      <c r="J559" s="283"/>
      <c r="K559" s="283"/>
      <c r="L559" s="283"/>
      <c r="M559" s="283"/>
      <c r="N559" s="283"/>
      <c r="O559" s="283"/>
      <c r="P559" s="283"/>
      <c r="Q559" s="283"/>
      <c r="R559" s="283"/>
      <c r="S559" s="283"/>
      <c r="T559" s="283"/>
      <c r="U559" s="283"/>
      <c r="V559" s="283"/>
      <c r="W559" s="283"/>
      <c r="X559" s="283"/>
      <c r="Y559" s="283"/>
      <c r="Z559" s="283"/>
      <c r="AA559" s="283"/>
    </row>
    <row r="560" spans="1:27">
      <c r="A560" s="420"/>
      <c r="B560" s="283"/>
      <c r="C560" s="283"/>
      <c r="D560" s="283"/>
      <c r="E560" s="283"/>
      <c r="F560" s="283"/>
      <c r="G560" s="283"/>
      <c r="H560" s="283"/>
      <c r="I560" s="283"/>
      <c r="J560" s="283"/>
      <c r="K560" s="283"/>
      <c r="L560" s="283"/>
      <c r="M560" s="283"/>
      <c r="N560" s="283"/>
      <c r="O560" s="283"/>
      <c r="P560" s="283"/>
      <c r="Q560" s="283"/>
      <c r="R560" s="283"/>
      <c r="S560" s="283"/>
      <c r="T560" s="283"/>
      <c r="U560" s="283"/>
      <c r="V560" s="283"/>
      <c r="W560" s="283"/>
      <c r="X560" s="283"/>
      <c r="Y560" s="283"/>
      <c r="Z560" s="283"/>
      <c r="AA560" s="283"/>
    </row>
    <row r="561" spans="1:27">
      <c r="A561" s="420"/>
      <c r="B561" s="283"/>
      <c r="C561" s="283"/>
      <c r="D561" s="283"/>
      <c r="E561" s="283"/>
      <c r="F561" s="283"/>
      <c r="G561" s="283"/>
      <c r="H561" s="283"/>
      <c r="I561" s="283"/>
      <c r="J561" s="283"/>
      <c r="K561" s="283"/>
      <c r="L561" s="283"/>
      <c r="M561" s="283"/>
      <c r="N561" s="283"/>
      <c r="O561" s="283"/>
      <c r="P561" s="283"/>
      <c r="Q561" s="283"/>
      <c r="R561" s="283"/>
      <c r="S561" s="283"/>
      <c r="T561" s="283"/>
      <c r="U561" s="283"/>
      <c r="V561" s="283"/>
      <c r="W561" s="283"/>
      <c r="X561" s="283"/>
      <c r="Y561" s="283"/>
      <c r="Z561" s="283"/>
      <c r="AA561" s="283"/>
    </row>
    <row r="562" spans="1:27">
      <c r="A562" s="420"/>
      <c r="B562" s="283"/>
      <c r="C562" s="283"/>
      <c r="D562" s="283"/>
      <c r="E562" s="283"/>
      <c r="F562" s="283"/>
      <c r="G562" s="283"/>
      <c r="H562" s="283"/>
      <c r="I562" s="283"/>
      <c r="J562" s="283"/>
      <c r="K562" s="283"/>
      <c r="L562" s="283"/>
      <c r="M562" s="283"/>
      <c r="N562" s="283"/>
      <c r="O562" s="283"/>
      <c r="P562" s="283"/>
      <c r="Q562" s="283"/>
      <c r="R562" s="283"/>
      <c r="S562" s="283"/>
      <c r="T562" s="283"/>
      <c r="U562" s="283"/>
      <c r="V562" s="283"/>
      <c r="W562" s="283"/>
      <c r="X562" s="283"/>
      <c r="Y562" s="283"/>
      <c r="Z562" s="283"/>
      <c r="AA562" s="283"/>
    </row>
    <row r="563" spans="1:27">
      <c r="A563" s="420"/>
      <c r="B563" s="283"/>
      <c r="C563" s="283"/>
      <c r="D563" s="283"/>
      <c r="E563" s="283"/>
      <c r="F563" s="283"/>
      <c r="G563" s="283"/>
      <c r="H563" s="283"/>
      <c r="I563" s="283"/>
      <c r="J563" s="283"/>
      <c r="K563" s="283"/>
      <c r="L563" s="283"/>
      <c r="M563" s="283"/>
      <c r="N563" s="283"/>
      <c r="O563" s="283"/>
      <c r="P563" s="283"/>
      <c r="Q563" s="283"/>
      <c r="R563" s="283"/>
      <c r="S563" s="283"/>
      <c r="T563" s="283"/>
      <c r="U563" s="283"/>
      <c r="V563" s="283"/>
      <c r="W563" s="283"/>
      <c r="X563" s="283"/>
      <c r="Y563" s="283"/>
      <c r="Z563" s="283"/>
      <c r="AA563" s="283"/>
    </row>
    <row r="564" spans="1:27">
      <c r="A564" s="420"/>
      <c r="B564" s="283"/>
      <c r="C564" s="283"/>
      <c r="D564" s="283"/>
      <c r="E564" s="283"/>
      <c r="F564" s="283"/>
      <c r="G564" s="283"/>
      <c r="H564" s="283"/>
      <c r="I564" s="283"/>
      <c r="J564" s="283"/>
      <c r="K564" s="283"/>
      <c r="L564" s="283"/>
      <c r="M564" s="283"/>
      <c r="N564" s="283"/>
      <c r="O564" s="283"/>
      <c r="P564" s="283"/>
      <c r="Q564" s="283"/>
      <c r="R564" s="283"/>
      <c r="S564" s="283"/>
      <c r="T564" s="283"/>
      <c r="U564" s="283"/>
      <c r="V564" s="283"/>
      <c r="W564" s="283"/>
      <c r="X564" s="283"/>
      <c r="Y564" s="283"/>
      <c r="Z564" s="283"/>
      <c r="AA564" s="283"/>
    </row>
    <row r="565" spans="1:27">
      <c r="A565" s="420"/>
      <c r="B565" s="283"/>
      <c r="C565" s="283"/>
      <c r="D565" s="283"/>
      <c r="E565" s="283"/>
      <c r="F565" s="283"/>
      <c r="G565" s="283"/>
      <c r="H565" s="283"/>
      <c r="I565" s="283"/>
      <c r="J565" s="283"/>
      <c r="K565" s="283"/>
      <c r="L565" s="283"/>
      <c r="M565" s="283"/>
      <c r="N565" s="283"/>
      <c r="O565" s="283"/>
      <c r="P565" s="283"/>
      <c r="Q565" s="283"/>
      <c r="R565" s="283"/>
      <c r="S565" s="283"/>
      <c r="T565" s="283"/>
      <c r="U565" s="283"/>
      <c r="V565" s="283"/>
      <c r="W565" s="283"/>
      <c r="X565" s="283"/>
      <c r="Y565" s="283"/>
      <c r="Z565" s="283"/>
      <c r="AA565" s="283"/>
    </row>
    <row r="566" spans="1:27">
      <c r="A566" s="420"/>
      <c r="B566" s="283"/>
      <c r="C566" s="283"/>
      <c r="D566" s="283"/>
      <c r="E566" s="283"/>
      <c r="F566" s="283"/>
      <c r="G566" s="283"/>
      <c r="H566" s="283"/>
      <c r="I566" s="283"/>
      <c r="J566" s="283"/>
      <c r="K566" s="283"/>
      <c r="L566" s="283"/>
      <c r="M566" s="283"/>
      <c r="N566" s="283"/>
      <c r="O566" s="283"/>
      <c r="P566" s="283"/>
      <c r="Q566" s="283"/>
      <c r="R566" s="283"/>
      <c r="S566" s="283"/>
      <c r="T566" s="283"/>
      <c r="U566" s="283"/>
      <c r="V566" s="283"/>
      <c r="W566" s="283"/>
      <c r="X566" s="283"/>
      <c r="Y566" s="283"/>
      <c r="Z566" s="283"/>
      <c r="AA566" s="283"/>
    </row>
    <row r="567" spans="1:27">
      <c r="A567" s="420"/>
      <c r="B567" s="283"/>
      <c r="C567" s="283"/>
      <c r="D567" s="283"/>
      <c r="E567" s="283"/>
      <c r="F567" s="283"/>
      <c r="G567" s="283"/>
      <c r="H567" s="283"/>
      <c r="I567" s="283"/>
      <c r="J567" s="283"/>
      <c r="K567" s="283"/>
      <c r="L567" s="283"/>
      <c r="M567" s="283"/>
      <c r="N567" s="283"/>
      <c r="O567" s="283"/>
      <c r="P567" s="283"/>
      <c r="Q567" s="283"/>
      <c r="R567" s="283"/>
      <c r="S567" s="283"/>
      <c r="T567" s="283"/>
      <c r="U567" s="283"/>
      <c r="V567" s="283"/>
      <c r="W567" s="283"/>
      <c r="X567" s="283"/>
      <c r="Y567" s="283"/>
      <c r="Z567" s="283"/>
      <c r="AA567" s="283"/>
    </row>
    <row r="568" spans="1:27">
      <c r="A568" s="420"/>
      <c r="B568" s="283"/>
      <c r="C568" s="283"/>
      <c r="D568" s="283"/>
      <c r="E568" s="283"/>
      <c r="F568" s="283"/>
      <c r="G568" s="283"/>
      <c r="H568" s="283"/>
      <c r="I568" s="283"/>
      <c r="J568" s="283"/>
      <c r="K568" s="283"/>
      <c r="L568" s="283"/>
      <c r="M568" s="283"/>
      <c r="N568" s="283"/>
      <c r="O568" s="283"/>
      <c r="P568" s="283"/>
      <c r="Q568" s="283"/>
      <c r="R568" s="283"/>
      <c r="S568" s="283"/>
      <c r="T568" s="283"/>
      <c r="U568" s="283"/>
      <c r="V568" s="283"/>
      <c r="W568" s="283"/>
      <c r="X568" s="283"/>
      <c r="Y568" s="283"/>
      <c r="Z568" s="283"/>
      <c r="AA568" s="283"/>
    </row>
    <row r="569" spans="1:27">
      <c r="A569" s="420"/>
      <c r="B569" s="283"/>
      <c r="C569" s="283"/>
      <c r="D569" s="283"/>
      <c r="E569" s="283"/>
      <c r="F569" s="283"/>
      <c r="G569" s="283"/>
      <c r="H569" s="283"/>
      <c r="I569" s="283"/>
      <c r="J569" s="283"/>
      <c r="K569" s="283"/>
      <c r="L569" s="283"/>
      <c r="M569" s="283"/>
      <c r="N569" s="283"/>
      <c r="O569" s="283"/>
      <c r="P569" s="283"/>
      <c r="Q569" s="283"/>
      <c r="R569" s="283"/>
      <c r="S569" s="283"/>
      <c r="T569" s="283"/>
      <c r="U569" s="283"/>
      <c r="V569" s="283"/>
      <c r="W569" s="283"/>
      <c r="X569" s="283"/>
      <c r="Y569" s="283"/>
      <c r="Z569" s="283"/>
      <c r="AA569" s="283"/>
    </row>
    <row r="570" spans="1:27">
      <c r="A570" s="420"/>
      <c r="B570" s="283"/>
      <c r="C570" s="283"/>
      <c r="D570" s="283"/>
      <c r="E570" s="283"/>
      <c r="F570" s="283"/>
      <c r="G570" s="283"/>
      <c r="H570" s="283"/>
      <c r="I570" s="283"/>
      <c r="J570" s="283"/>
      <c r="K570" s="283"/>
      <c r="L570" s="283"/>
      <c r="M570" s="283"/>
      <c r="N570" s="283"/>
      <c r="O570" s="283"/>
      <c r="P570" s="283"/>
      <c r="Q570" s="283"/>
      <c r="R570" s="283"/>
      <c r="S570" s="283"/>
      <c r="T570" s="283"/>
      <c r="U570" s="283"/>
      <c r="V570" s="283"/>
      <c r="W570" s="283"/>
      <c r="X570" s="283"/>
      <c r="Y570" s="283"/>
      <c r="Z570" s="283"/>
      <c r="AA570" s="283"/>
    </row>
    <row r="571" spans="1:27">
      <c r="A571" s="420"/>
      <c r="B571" s="283"/>
      <c r="C571" s="283"/>
      <c r="D571" s="283"/>
      <c r="E571" s="283"/>
      <c r="F571" s="283"/>
      <c r="G571" s="283"/>
      <c r="H571" s="283"/>
      <c r="I571" s="283"/>
      <c r="J571" s="283"/>
      <c r="K571" s="283"/>
      <c r="L571" s="283"/>
      <c r="M571" s="283"/>
      <c r="N571" s="283"/>
      <c r="O571" s="283"/>
      <c r="P571" s="283"/>
      <c r="Q571" s="283"/>
      <c r="R571" s="283"/>
      <c r="S571" s="283"/>
      <c r="T571" s="283"/>
      <c r="U571" s="283"/>
      <c r="V571" s="283"/>
      <c r="W571" s="283"/>
      <c r="X571" s="283"/>
      <c r="Y571" s="283"/>
      <c r="Z571" s="283"/>
      <c r="AA571" s="283"/>
    </row>
    <row r="572" spans="1:27">
      <c r="A572" s="420"/>
      <c r="B572" s="283"/>
      <c r="C572" s="283"/>
      <c r="D572" s="283"/>
      <c r="E572" s="283"/>
      <c r="F572" s="283"/>
      <c r="G572" s="283"/>
      <c r="H572" s="283"/>
      <c r="I572" s="283"/>
      <c r="J572" s="283"/>
      <c r="K572" s="283"/>
      <c r="L572" s="283"/>
      <c r="M572" s="283"/>
      <c r="N572" s="283"/>
      <c r="O572" s="283"/>
      <c r="P572" s="283"/>
      <c r="Q572" s="283"/>
      <c r="R572" s="283"/>
      <c r="S572" s="283"/>
      <c r="T572" s="283"/>
      <c r="U572" s="283"/>
      <c r="V572" s="283"/>
      <c r="W572" s="283"/>
      <c r="X572" s="283"/>
      <c r="Y572" s="283"/>
      <c r="Z572" s="283"/>
      <c r="AA572" s="283"/>
    </row>
    <row r="573" spans="1:27">
      <c r="A573" s="420"/>
      <c r="B573" s="283"/>
      <c r="C573" s="283"/>
      <c r="D573" s="283"/>
      <c r="E573" s="283"/>
      <c r="F573" s="283"/>
      <c r="G573" s="283"/>
      <c r="H573" s="283"/>
      <c r="I573" s="283"/>
      <c r="J573" s="283"/>
      <c r="K573" s="283"/>
      <c r="L573" s="283"/>
      <c r="M573" s="283"/>
      <c r="N573" s="283"/>
      <c r="O573" s="283"/>
      <c r="P573" s="283"/>
      <c r="Q573" s="283"/>
      <c r="R573" s="283"/>
      <c r="S573" s="283"/>
      <c r="T573" s="283"/>
      <c r="U573" s="283"/>
      <c r="V573" s="283"/>
      <c r="W573" s="283"/>
      <c r="X573" s="283"/>
      <c r="Y573" s="283"/>
      <c r="Z573" s="283"/>
      <c r="AA573" s="283"/>
    </row>
    <row r="574" spans="1:27">
      <c r="A574" s="420"/>
      <c r="B574" s="283"/>
      <c r="C574" s="283"/>
      <c r="D574" s="283"/>
      <c r="E574" s="283"/>
      <c r="F574" s="283"/>
      <c r="G574" s="283"/>
      <c r="H574" s="283"/>
      <c r="I574" s="283"/>
      <c r="J574" s="283"/>
      <c r="K574" s="283"/>
      <c r="L574" s="283"/>
      <c r="M574" s="283"/>
      <c r="N574" s="283"/>
      <c r="O574" s="283"/>
      <c r="P574" s="283"/>
      <c r="Q574" s="283"/>
      <c r="R574" s="283"/>
      <c r="S574" s="283"/>
      <c r="T574" s="283"/>
      <c r="U574" s="283"/>
      <c r="V574" s="283"/>
      <c r="W574" s="283"/>
      <c r="X574" s="283"/>
      <c r="Y574" s="283"/>
      <c r="Z574" s="283"/>
      <c r="AA574" s="283"/>
    </row>
    <row r="575" spans="1:27">
      <c r="A575" s="420"/>
      <c r="B575" s="283"/>
      <c r="C575" s="283"/>
      <c r="D575" s="283"/>
      <c r="E575" s="283"/>
      <c r="F575" s="283"/>
      <c r="G575" s="283"/>
      <c r="H575" s="283"/>
      <c r="I575" s="283"/>
      <c r="J575" s="283"/>
      <c r="K575" s="283"/>
      <c r="L575" s="283"/>
      <c r="M575" s="283"/>
      <c r="N575" s="283"/>
      <c r="O575" s="283"/>
      <c r="P575" s="283"/>
      <c r="Q575" s="283"/>
      <c r="R575" s="283"/>
      <c r="S575" s="283"/>
      <c r="T575" s="283"/>
      <c r="U575" s="283"/>
      <c r="V575" s="283"/>
      <c r="W575" s="283"/>
      <c r="X575" s="283"/>
      <c r="Y575" s="283"/>
      <c r="Z575" s="283"/>
      <c r="AA575" s="283"/>
    </row>
    <row r="576" spans="1:27">
      <c r="A576" s="420"/>
      <c r="B576" s="283"/>
      <c r="C576" s="283"/>
      <c r="D576" s="283"/>
      <c r="E576" s="283"/>
      <c r="F576" s="283"/>
      <c r="G576" s="283"/>
      <c r="H576" s="283"/>
      <c r="I576" s="283"/>
      <c r="J576" s="283"/>
      <c r="K576" s="283"/>
      <c r="L576" s="283"/>
      <c r="M576" s="283"/>
      <c r="N576" s="283"/>
      <c r="O576" s="283"/>
      <c r="P576" s="283"/>
      <c r="Q576" s="283"/>
      <c r="R576" s="283"/>
      <c r="S576" s="283"/>
      <c r="T576" s="283"/>
      <c r="U576" s="283"/>
      <c r="V576" s="283"/>
      <c r="W576" s="283"/>
      <c r="X576" s="283"/>
      <c r="Y576" s="283"/>
      <c r="Z576" s="283"/>
      <c r="AA576" s="283"/>
    </row>
    <row r="577" spans="1:27">
      <c r="A577" s="420"/>
      <c r="B577" s="283"/>
      <c r="C577" s="283"/>
      <c r="D577" s="283"/>
      <c r="E577" s="283"/>
      <c r="F577" s="283"/>
      <c r="G577" s="283"/>
      <c r="H577" s="283"/>
      <c r="I577" s="283"/>
      <c r="J577" s="283"/>
      <c r="K577" s="283"/>
      <c r="L577" s="283"/>
      <c r="M577" s="283"/>
      <c r="N577" s="283"/>
      <c r="O577" s="283"/>
      <c r="P577" s="283"/>
      <c r="Q577" s="283"/>
      <c r="R577" s="283"/>
      <c r="S577" s="283"/>
      <c r="T577" s="283"/>
      <c r="U577" s="283"/>
      <c r="V577" s="283"/>
      <c r="W577" s="283"/>
      <c r="X577" s="283"/>
      <c r="Y577" s="283"/>
      <c r="Z577" s="283"/>
      <c r="AA577" s="283"/>
    </row>
    <row r="578" spans="1:27">
      <c r="A578" s="420"/>
      <c r="B578" s="283"/>
      <c r="C578" s="283"/>
      <c r="D578" s="283"/>
      <c r="E578" s="283"/>
      <c r="F578" s="283"/>
      <c r="G578" s="283"/>
      <c r="H578" s="283"/>
      <c r="I578" s="283"/>
      <c r="J578" s="283"/>
      <c r="K578" s="283"/>
      <c r="L578" s="283"/>
      <c r="M578" s="283"/>
      <c r="N578" s="283"/>
      <c r="O578" s="283"/>
      <c r="P578" s="283"/>
      <c r="Q578" s="283"/>
      <c r="R578" s="283"/>
      <c r="S578" s="283"/>
      <c r="T578" s="283"/>
      <c r="U578" s="283"/>
      <c r="V578" s="283"/>
      <c r="W578" s="283"/>
      <c r="X578" s="283"/>
      <c r="Y578" s="283"/>
      <c r="Z578" s="283"/>
      <c r="AA578" s="283"/>
    </row>
    <row r="579" spans="1:27">
      <c r="A579" s="420"/>
      <c r="B579" s="283"/>
      <c r="C579" s="283"/>
      <c r="D579" s="283"/>
      <c r="E579" s="283"/>
      <c r="F579" s="283"/>
      <c r="G579" s="283"/>
      <c r="H579" s="283"/>
      <c r="I579" s="283"/>
      <c r="J579" s="283"/>
      <c r="K579" s="283"/>
      <c r="L579" s="283"/>
      <c r="M579" s="283"/>
      <c r="N579" s="283"/>
      <c r="O579" s="283"/>
      <c r="P579" s="283"/>
      <c r="Q579" s="283"/>
      <c r="R579" s="283"/>
      <c r="S579" s="283"/>
      <c r="T579" s="283"/>
      <c r="U579" s="283"/>
      <c r="V579" s="283"/>
      <c r="W579" s="283"/>
      <c r="X579" s="283"/>
      <c r="Y579" s="283"/>
      <c r="Z579" s="283"/>
      <c r="AA579" s="283"/>
    </row>
    <row r="580" spans="1:27">
      <c r="A580" s="420"/>
      <c r="B580" s="283"/>
      <c r="C580" s="283"/>
      <c r="D580" s="283"/>
      <c r="E580" s="283"/>
      <c r="F580" s="283"/>
      <c r="G580" s="283"/>
      <c r="H580" s="283"/>
      <c r="I580" s="283"/>
      <c r="J580" s="283"/>
      <c r="K580" s="283"/>
      <c r="L580" s="283"/>
      <c r="M580" s="283"/>
      <c r="N580" s="283"/>
      <c r="O580" s="283"/>
      <c r="P580" s="283"/>
      <c r="Q580" s="283"/>
      <c r="R580" s="283"/>
      <c r="S580" s="283"/>
      <c r="T580" s="283"/>
      <c r="U580" s="283"/>
      <c r="V580" s="283"/>
      <c r="W580" s="283"/>
      <c r="X580" s="283"/>
      <c r="Y580" s="283"/>
      <c r="Z580" s="283"/>
      <c r="AA580" s="283"/>
    </row>
    <row r="581" spans="1:27">
      <c r="A581" s="420"/>
      <c r="B581" s="283"/>
      <c r="C581" s="283"/>
      <c r="D581" s="283"/>
      <c r="E581" s="283"/>
      <c r="F581" s="283"/>
      <c r="G581" s="283"/>
      <c r="H581" s="283"/>
      <c r="I581" s="283"/>
      <c r="J581" s="283"/>
      <c r="K581" s="283"/>
      <c r="L581" s="283"/>
      <c r="M581" s="283"/>
      <c r="N581" s="283"/>
      <c r="O581" s="283"/>
      <c r="P581" s="283"/>
      <c r="Q581" s="283"/>
      <c r="R581" s="283"/>
      <c r="S581" s="283"/>
      <c r="T581" s="283"/>
      <c r="U581" s="283"/>
      <c r="V581" s="283"/>
      <c r="W581" s="283"/>
      <c r="X581" s="283"/>
      <c r="Y581" s="283"/>
      <c r="Z581" s="283"/>
      <c r="AA581" s="283"/>
    </row>
    <row r="582" spans="1:27">
      <c r="A582" s="420"/>
      <c r="B582" s="283"/>
      <c r="C582" s="283"/>
      <c r="D582" s="283"/>
      <c r="E582" s="283"/>
      <c r="F582" s="283"/>
      <c r="G582" s="283"/>
      <c r="H582" s="283"/>
      <c r="I582" s="283"/>
      <c r="J582" s="283"/>
      <c r="K582" s="283"/>
      <c r="L582" s="283"/>
      <c r="M582" s="283"/>
      <c r="N582" s="283"/>
      <c r="O582" s="283"/>
      <c r="P582" s="283"/>
      <c r="Q582" s="283"/>
      <c r="R582" s="283"/>
      <c r="S582" s="283"/>
      <c r="T582" s="283"/>
      <c r="U582" s="283"/>
      <c r="V582" s="283"/>
      <c r="W582" s="283"/>
      <c r="X582" s="283"/>
      <c r="Y582" s="283"/>
      <c r="Z582" s="283"/>
      <c r="AA582" s="283"/>
    </row>
    <row r="583" spans="1:27">
      <c r="A583" s="420"/>
      <c r="B583" s="283"/>
      <c r="C583" s="283"/>
      <c r="D583" s="283"/>
      <c r="E583" s="283"/>
      <c r="F583" s="283"/>
      <c r="G583" s="283"/>
      <c r="H583" s="283"/>
      <c r="I583" s="283"/>
      <c r="J583" s="283"/>
      <c r="K583" s="283"/>
      <c r="L583" s="283"/>
      <c r="M583" s="283"/>
      <c r="N583" s="283"/>
      <c r="O583" s="283"/>
      <c r="P583" s="283"/>
      <c r="Q583" s="283"/>
      <c r="R583" s="283"/>
      <c r="S583" s="283"/>
      <c r="T583" s="283"/>
      <c r="U583" s="283"/>
      <c r="V583" s="283"/>
      <c r="W583" s="283"/>
      <c r="X583" s="283"/>
      <c r="Y583" s="283"/>
      <c r="Z583" s="283"/>
      <c r="AA583" s="283"/>
    </row>
    <row r="584" spans="1:27">
      <c r="A584" s="420"/>
      <c r="B584" s="283"/>
      <c r="C584" s="283"/>
      <c r="D584" s="283"/>
      <c r="E584" s="283"/>
      <c r="F584" s="283"/>
      <c r="G584" s="283"/>
      <c r="H584" s="283"/>
      <c r="I584" s="283"/>
      <c r="J584" s="283"/>
      <c r="K584" s="283"/>
      <c r="L584" s="283"/>
      <c r="M584" s="283"/>
      <c r="N584" s="283"/>
      <c r="O584" s="283"/>
      <c r="P584" s="283"/>
      <c r="Q584" s="283"/>
      <c r="R584" s="283"/>
      <c r="S584" s="283"/>
      <c r="T584" s="283"/>
      <c r="U584" s="283"/>
      <c r="V584" s="283"/>
      <c r="W584" s="283"/>
      <c r="X584" s="283"/>
      <c r="Y584" s="283"/>
      <c r="Z584" s="283"/>
      <c r="AA584" s="283"/>
    </row>
    <row r="585" spans="1:27">
      <c r="A585" s="420"/>
      <c r="B585" s="283"/>
      <c r="C585" s="283"/>
      <c r="D585" s="283"/>
      <c r="E585" s="283"/>
      <c r="F585" s="283"/>
      <c r="G585" s="283"/>
      <c r="H585" s="283"/>
      <c r="I585" s="283"/>
      <c r="J585" s="283"/>
      <c r="K585" s="283"/>
      <c r="L585" s="283"/>
      <c r="M585" s="283"/>
      <c r="N585" s="283"/>
      <c r="O585" s="283"/>
      <c r="P585" s="283"/>
      <c r="Q585" s="283"/>
      <c r="R585" s="283"/>
      <c r="S585" s="283"/>
      <c r="T585" s="283"/>
      <c r="U585" s="283"/>
      <c r="V585" s="283"/>
      <c r="W585" s="283"/>
      <c r="X585" s="283"/>
      <c r="Y585" s="283"/>
      <c r="Z585" s="283"/>
      <c r="AA585" s="283"/>
    </row>
    <row r="586" spans="1:27">
      <c r="A586" s="420"/>
      <c r="B586" s="283"/>
      <c r="C586" s="283"/>
      <c r="D586" s="283"/>
      <c r="E586" s="283"/>
      <c r="F586" s="283"/>
      <c r="G586" s="283"/>
      <c r="H586" s="283"/>
      <c r="I586" s="283"/>
      <c r="J586" s="283"/>
      <c r="K586" s="283"/>
      <c r="L586" s="283"/>
      <c r="M586" s="283"/>
      <c r="N586" s="283"/>
      <c r="O586" s="283"/>
      <c r="P586" s="283"/>
      <c r="Q586" s="283"/>
      <c r="R586" s="283"/>
      <c r="S586" s="283"/>
      <c r="T586" s="283"/>
      <c r="U586" s="283"/>
      <c r="V586" s="283"/>
      <c r="W586" s="283"/>
      <c r="X586" s="283"/>
      <c r="Y586" s="283"/>
      <c r="Z586" s="283"/>
      <c r="AA586" s="283"/>
    </row>
    <row r="587" spans="1:27">
      <c r="A587" s="420"/>
      <c r="B587" s="283"/>
      <c r="C587" s="283"/>
      <c r="D587" s="283"/>
      <c r="E587" s="283"/>
      <c r="F587" s="283"/>
      <c r="G587" s="283"/>
      <c r="H587" s="283"/>
      <c r="I587" s="283"/>
      <c r="J587" s="283"/>
      <c r="K587" s="283"/>
      <c r="L587" s="283"/>
      <c r="M587" s="283"/>
      <c r="N587" s="283"/>
      <c r="O587" s="283"/>
      <c r="P587" s="283"/>
      <c r="Q587" s="283"/>
      <c r="R587" s="283"/>
      <c r="S587" s="283"/>
      <c r="T587" s="283"/>
      <c r="U587" s="283"/>
      <c r="V587" s="283"/>
      <c r="W587" s="283"/>
      <c r="X587" s="283"/>
      <c r="Y587" s="283"/>
      <c r="Z587" s="283"/>
      <c r="AA587" s="283"/>
    </row>
    <row r="588" spans="1:27">
      <c r="A588" s="420"/>
      <c r="B588" s="283"/>
      <c r="C588" s="283"/>
      <c r="D588" s="283"/>
      <c r="E588" s="283"/>
      <c r="F588" s="283"/>
      <c r="G588" s="283"/>
      <c r="H588" s="283"/>
      <c r="I588" s="283"/>
      <c r="J588" s="283"/>
      <c r="K588" s="283"/>
      <c r="L588" s="283"/>
      <c r="M588" s="283"/>
      <c r="N588" s="283"/>
      <c r="O588" s="283"/>
      <c r="P588" s="283"/>
      <c r="Q588" s="283"/>
      <c r="R588" s="283"/>
      <c r="S588" s="283"/>
      <c r="T588" s="283"/>
      <c r="U588" s="283"/>
      <c r="V588" s="283"/>
      <c r="W588" s="283"/>
      <c r="X588" s="283"/>
      <c r="Y588" s="283"/>
      <c r="Z588" s="283"/>
      <c r="AA588" s="283"/>
    </row>
    <row r="589" spans="1:27">
      <c r="A589" s="420"/>
      <c r="B589" s="283"/>
      <c r="C589" s="283"/>
      <c r="D589" s="283"/>
      <c r="E589" s="283"/>
      <c r="F589" s="283"/>
      <c r="G589" s="283"/>
      <c r="H589" s="283"/>
      <c r="I589" s="283"/>
      <c r="J589" s="283"/>
      <c r="K589" s="283"/>
      <c r="L589" s="283"/>
      <c r="M589" s="283"/>
      <c r="N589" s="283"/>
      <c r="O589" s="283"/>
      <c r="P589" s="283"/>
      <c r="Q589" s="283"/>
      <c r="R589" s="283"/>
      <c r="S589" s="283"/>
      <c r="T589" s="283"/>
      <c r="U589" s="283"/>
      <c r="V589" s="283"/>
      <c r="W589" s="283"/>
      <c r="X589" s="283"/>
      <c r="Y589" s="283"/>
      <c r="Z589" s="283"/>
      <c r="AA589" s="283"/>
    </row>
  </sheetData>
  <mergeCells count="42">
    <mergeCell ref="Q7:R7"/>
    <mergeCell ref="Q8:Q10"/>
    <mergeCell ref="R8:R10"/>
    <mergeCell ref="AB6:AB10"/>
    <mergeCell ref="P8:P10"/>
    <mergeCell ref="J9:J10"/>
    <mergeCell ref="K9:L9"/>
    <mergeCell ref="S8:S10"/>
    <mergeCell ref="T8:T10"/>
    <mergeCell ref="J8:L8"/>
    <mergeCell ref="F7:F10"/>
    <mergeCell ref="G7:H7"/>
    <mergeCell ref="M7:N7"/>
    <mergeCell ref="O7:P7"/>
    <mergeCell ref="AA6:AA10"/>
    <mergeCell ref="U8:U10"/>
    <mergeCell ref="V8:V10"/>
    <mergeCell ref="W8:W10"/>
    <mergeCell ref="X8:Z8"/>
    <mergeCell ref="X9:X10"/>
    <mergeCell ref="Y9:Z9"/>
    <mergeCell ref="S7:T7"/>
    <mergeCell ref="I8:I10"/>
    <mergeCell ref="M8:M10"/>
    <mergeCell ref="N8:N10"/>
    <mergeCell ref="O8:O10"/>
    <mergeCell ref="A2:AA2"/>
    <mergeCell ref="A3:AA3"/>
    <mergeCell ref="A4:AA4"/>
    <mergeCell ref="A5:AA5"/>
    <mergeCell ref="A6:A10"/>
    <mergeCell ref="B6:B10"/>
    <mergeCell ref="C6:C10"/>
    <mergeCell ref="D6:D10"/>
    <mergeCell ref="E6:E10"/>
    <mergeCell ref="F6:H6"/>
    <mergeCell ref="G8:G10"/>
    <mergeCell ref="H8:H10"/>
    <mergeCell ref="I6:L7"/>
    <mergeCell ref="M6:T6"/>
    <mergeCell ref="U6:V7"/>
    <mergeCell ref="W6:Z7"/>
  </mergeCells>
  <phoneticPr fontId="40" type="noConversion"/>
  <printOptions horizontalCentered="1"/>
  <pageMargins left="0" right="0" top="0.45" bottom="0.56000000000000005" header="0.3" footer="0.3"/>
  <pageSetup paperSize="9" scale="37" fitToHeight="0" orientation="landscape" useFirstPageNumber="1" r:id="rId1"/>
  <headerFooter scaleWithDoc="0" alignWithMargins="0">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1"/>
  <sheetViews>
    <sheetView topLeftCell="A2" zoomScale="70" zoomScaleNormal="70" workbookViewId="0">
      <selection activeCell="A4" sqref="A4:C4"/>
    </sheetView>
  </sheetViews>
  <sheetFormatPr defaultColWidth="9.140625" defaultRowHeight="18.75"/>
  <cols>
    <col min="1" max="1" width="8.85546875" style="272" customWidth="1"/>
    <col min="2" max="2" width="73.28515625" style="273" customWidth="1"/>
    <col min="3" max="3" width="37.42578125" style="274" customWidth="1"/>
    <col min="4" max="5" width="10" style="274" customWidth="1"/>
    <col min="6" max="26" width="10" style="179" customWidth="1"/>
    <col min="27" max="16384" width="9.140625" style="230"/>
  </cols>
  <sheetData>
    <row r="1" spans="1:26" s="229" customFormat="1" ht="32.25" hidden="1" customHeight="1">
      <c r="A1" s="518" t="s">
        <v>195</v>
      </c>
      <c r="B1" s="518"/>
      <c r="C1" s="518"/>
      <c r="D1" s="226"/>
      <c r="E1" s="226"/>
      <c r="F1" s="226"/>
      <c r="G1" s="227"/>
      <c r="H1" s="227"/>
      <c r="I1" s="227"/>
      <c r="J1" s="227"/>
      <c r="K1" s="227"/>
      <c r="L1" s="227"/>
      <c r="M1" s="227"/>
      <c r="N1" s="226"/>
      <c r="O1" s="228"/>
      <c r="P1" s="226"/>
      <c r="Q1" s="228"/>
      <c r="R1" s="228"/>
      <c r="S1" s="228"/>
      <c r="T1" s="228"/>
      <c r="U1" s="228"/>
      <c r="V1" s="228"/>
      <c r="W1" s="228"/>
      <c r="X1" s="228"/>
      <c r="Y1" s="228"/>
      <c r="Z1" s="179" t="s">
        <v>27</v>
      </c>
    </row>
    <row r="2" spans="1:26">
      <c r="A2" s="518"/>
      <c r="B2" s="518"/>
      <c r="C2" s="518"/>
      <c r="D2" s="230"/>
      <c r="E2" s="230"/>
      <c r="F2" s="230"/>
      <c r="G2" s="230"/>
      <c r="H2" s="230"/>
      <c r="I2" s="230"/>
      <c r="J2" s="230"/>
      <c r="K2" s="230"/>
      <c r="L2" s="230"/>
      <c r="M2" s="230"/>
      <c r="N2" s="230"/>
      <c r="O2" s="230"/>
      <c r="P2" s="230"/>
      <c r="Q2" s="230"/>
      <c r="R2" s="230"/>
      <c r="S2" s="230"/>
      <c r="T2" s="230"/>
      <c r="U2" s="230"/>
      <c r="V2" s="230"/>
      <c r="W2" s="230"/>
      <c r="X2" s="230"/>
      <c r="Y2" s="230"/>
      <c r="Z2" s="230"/>
    </row>
    <row r="3" spans="1:26" ht="44.45" customHeight="1">
      <c r="A3" s="519" t="s">
        <v>161</v>
      </c>
      <c r="B3" s="519"/>
      <c r="C3" s="519"/>
      <c r="D3" s="230"/>
      <c r="E3" s="230"/>
      <c r="F3" s="230"/>
      <c r="G3" s="230"/>
      <c r="H3" s="230"/>
      <c r="I3" s="230"/>
      <c r="J3" s="230"/>
      <c r="K3" s="230"/>
      <c r="L3" s="230"/>
      <c r="M3" s="230"/>
      <c r="N3" s="230"/>
      <c r="O3" s="230"/>
      <c r="P3" s="230"/>
      <c r="Q3" s="230"/>
      <c r="R3" s="230"/>
      <c r="S3" s="230"/>
      <c r="T3" s="230"/>
      <c r="U3" s="230"/>
      <c r="V3" s="230"/>
      <c r="W3" s="230"/>
      <c r="X3" s="230"/>
      <c r="Y3" s="230"/>
      <c r="Z3" s="230"/>
    </row>
    <row r="4" spans="1:26" s="229" customFormat="1" ht="40.5" customHeight="1">
      <c r="A4" s="520" t="str">
        <f>+'B.I THDP'!A3:K3</f>
        <v>(Kèm theo Công văn số 1080/UBND-KTTH ngày   08  tháng  8  năm 2024 của Ủy ban nhân dân tỉnh An Giang)</v>
      </c>
      <c r="B4" s="520"/>
      <c r="C4" s="520"/>
    </row>
    <row r="5" spans="1:26">
      <c r="A5" s="424"/>
      <c r="B5" s="424"/>
      <c r="C5" s="424"/>
      <c r="D5" s="230"/>
      <c r="E5" s="230"/>
      <c r="F5" s="230"/>
      <c r="G5" s="230"/>
      <c r="H5" s="230"/>
      <c r="I5" s="230"/>
      <c r="J5" s="230"/>
      <c r="K5" s="230"/>
      <c r="L5" s="230"/>
      <c r="M5" s="230"/>
      <c r="N5" s="230"/>
      <c r="O5" s="230"/>
      <c r="P5" s="230"/>
      <c r="Q5" s="230"/>
      <c r="R5" s="230"/>
      <c r="S5" s="230"/>
      <c r="T5" s="230"/>
      <c r="U5" s="230"/>
      <c r="V5" s="230"/>
      <c r="W5" s="230"/>
      <c r="X5" s="230"/>
      <c r="Y5" s="230"/>
      <c r="Z5" s="230"/>
    </row>
    <row r="6" spans="1:26" ht="28.5" customHeight="1">
      <c r="A6" s="425" t="s">
        <v>22</v>
      </c>
      <c r="B6" s="425" t="s">
        <v>143</v>
      </c>
      <c r="C6" s="425" t="s">
        <v>144</v>
      </c>
      <c r="D6" s="230"/>
      <c r="E6" s="230"/>
      <c r="F6" s="230"/>
      <c r="G6" s="230"/>
      <c r="H6" s="230"/>
      <c r="I6" s="230"/>
      <c r="J6" s="230"/>
      <c r="K6" s="230"/>
      <c r="L6" s="230"/>
      <c r="M6" s="230"/>
      <c r="N6" s="230"/>
      <c r="O6" s="230"/>
      <c r="P6" s="230"/>
      <c r="Q6" s="230"/>
      <c r="R6" s="230"/>
      <c r="S6" s="230"/>
      <c r="T6" s="230"/>
      <c r="U6" s="230"/>
      <c r="V6" s="230"/>
      <c r="W6" s="230"/>
      <c r="X6" s="230"/>
      <c r="Y6" s="230"/>
      <c r="Z6" s="230"/>
    </row>
    <row r="7" spans="1:26" ht="60.75" customHeight="1">
      <c r="A7" s="426" t="s">
        <v>37</v>
      </c>
      <c r="B7" s="427" t="s">
        <v>150</v>
      </c>
      <c r="C7" s="428"/>
      <c r="D7" s="230"/>
      <c r="E7" s="230"/>
      <c r="F7" s="230"/>
      <c r="G7" s="230"/>
      <c r="H7" s="230"/>
      <c r="I7" s="230"/>
      <c r="J7" s="230"/>
      <c r="K7" s="230"/>
      <c r="L7" s="230"/>
      <c r="M7" s="230"/>
      <c r="N7" s="230"/>
      <c r="O7" s="230"/>
      <c r="P7" s="230"/>
      <c r="Q7" s="230"/>
      <c r="R7" s="230"/>
      <c r="S7" s="230"/>
      <c r="T7" s="230"/>
      <c r="U7" s="230"/>
      <c r="V7" s="230"/>
      <c r="W7" s="230"/>
      <c r="X7" s="230"/>
      <c r="Y7" s="230"/>
      <c r="Z7" s="230"/>
    </row>
    <row r="8" spans="1:26" ht="38.1" customHeight="1">
      <c r="A8" s="429" t="s">
        <v>38</v>
      </c>
      <c r="B8" s="430" t="s">
        <v>151</v>
      </c>
      <c r="C8" s="431"/>
      <c r="D8" s="230"/>
      <c r="E8" s="230"/>
      <c r="F8" s="230"/>
      <c r="G8" s="230"/>
      <c r="H8" s="230"/>
      <c r="I8" s="230"/>
      <c r="J8" s="230"/>
      <c r="K8" s="230"/>
      <c r="L8" s="230"/>
      <c r="M8" s="230"/>
      <c r="N8" s="230"/>
      <c r="O8" s="230"/>
      <c r="P8" s="230"/>
      <c r="Q8" s="230"/>
      <c r="R8" s="230"/>
      <c r="S8" s="230"/>
      <c r="T8" s="230"/>
      <c r="U8" s="230"/>
      <c r="V8" s="230"/>
      <c r="W8" s="230"/>
      <c r="X8" s="230"/>
      <c r="Y8" s="230"/>
      <c r="Z8" s="230"/>
    </row>
    <row r="9" spans="1:26" ht="44.25" customHeight="1">
      <c r="A9" s="429"/>
      <c r="B9" s="430" t="s">
        <v>155</v>
      </c>
      <c r="C9" s="431"/>
      <c r="D9" s="230"/>
      <c r="E9" s="230"/>
      <c r="F9" s="230"/>
      <c r="G9" s="230"/>
      <c r="H9" s="230"/>
      <c r="I9" s="230"/>
      <c r="J9" s="230"/>
      <c r="K9" s="230"/>
      <c r="L9" s="230"/>
      <c r="M9" s="230"/>
      <c r="N9" s="230"/>
      <c r="O9" s="230"/>
      <c r="P9" s="230"/>
      <c r="Q9" s="230"/>
      <c r="R9" s="230"/>
      <c r="S9" s="230"/>
      <c r="T9" s="230"/>
      <c r="U9" s="230"/>
      <c r="V9" s="230"/>
      <c r="W9" s="230"/>
      <c r="X9" s="230"/>
      <c r="Y9" s="230"/>
      <c r="Z9" s="230"/>
    </row>
    <row r="10" spans="1:26" ht="75">
      <c r="A10" s="432" t="s">
        <v>146</v>
      </c>
      <c r="B10" s="433" t="s">
        <v>1108</v>
      </c>
      <c r="C10" s="433" t="s">
        <v>1109</v>
      </c>
      <c r="D10" s="230"/>
      <c r="E10" s="230"/>
      <c r="F10" s="230"/>
      <c r="G10" s="230"/>
      <c r="H10" s="230"/>
      <c r="I10" s="230"/>
      <c r="J10" s="230"/>
      <c r="K10" s="230"/>
      <c r="L10" s="230"/>
      <c r="M10" s="230"/>
      <c r="N10" s="230"/>
      <c r="O10" s="230"/>
      <c r="P10" s="230"/>
      <c r="Q10" s="230"/>
      <c r="R10" s="230"/>
      <c r="S10" s="230"/>
      <c r="T10" s="230"/>
      <c r="U10" s="230"/>
      <c r="V10" s="230"/>
      <c r="W10" s="230"/>
      <c r="X10" s="230"/>
      <c r="Y10" s="230"/>
      <c r="Z10" s="230"/>
    </row>
    <row r="11" spans="1:26" ht="68.25" customHeight="1">
      <c r="A11" s="432" t="s">
        <v>147</v>
      </c>
      <c r="B11" s="433" t="s">
        <v>1179</v>
      </c>
      <c r="C11" s="433" t="s">
        <v>1180</v>
      </c>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spans="1:26" ht="44.45" customHeight="1">
      <c r="A12" s="429" t="s">
        <v>43</v>
      </c>
      <c r="B12" s="434" t="s">
        <v>152</v>
      </c>
      <c r="C12" s="431"/>
      <c r="D12" s="230"/>
      <c r="E12" s="230"/>
      <c r="F12" s="230"/>
      <c r="G12" s="230"/>
      <c r="H12" s="230"/>
      <c r="I12" s="230"/>
      <c r="J12" s="230"/>
      <c r="K12" s="230"/>
      <c r="L12" s="230"/>
      <c r="M12" s="230"/>
      <c r="N12" s="230"/>
      <c r="O12" s="230"/>
      <c r="P12" s="230"/>
      <c r="Q12" s="230"/>
      <c r="R12" s="230"/>
      <c r="S12" s="230"/>
      <c r="T12" s="230"/>
      <c r="U12" s="230"/>
      <c r="V12" s="230"/>
      <c r="W12" s="230"/>
      <c r="X12" s="230"/>
      <c r="Y12" s="230"/>
      <c r="Z12" s="230"/>
    </row>
    <row r="13" spans="1:26" ht="38.1" customHeight="1">
      <c r="A13" s="429"/>
      <c r="B13" s="434" t="s">
        <v>153</v>
      </c>
      <c r="C13" s="431"/>
      <c r="D13" s="230"/>
      <c r="E13" s="230"/>
      <c r="F13" s="230"/>
      <c r="G13" s="230"/>
      <c r="H13" s="230"/>
      <c r="I13" s="230"/>
      <c r="J13" s="230"/>
      <c r="K13" s="230"/>
      <c r="L13" s="230"/>
      <c r="M13" s="230"/>
      <c r="N13" s="230"/>
      <c r="O13" s="230"/>
      <c r="P13" s="230"/>
      <c r="Q13" s="230"/>
      <c r="R13" s="230"/>
      <c r="S13" s="230"/>
      <c r="T13" s="230"/>
      <c r="U13" s="230"/>
      <c r="V13" s="230"/>
      <c r="W13" s="230"/>
      <c r="X13" s="230"/>
      <c r="Y13" s="230"/>
      <c r="Z13" s="230"/>
    </row>
    <row r="14" spans="1:26" ht="56.25">
      <c r="A14" s="432" t="s">
        <v>146</v>
      </c>
      <c r="B14" s="433" t="s">
        <v>1110</v>
      </c>
      <c r="C14" s="433" t="s">
        <v>1111</v>
      </c>
      <c r="D14" s="230"/>
      <c r="E14" s="230"/>
      <c r="F14" s="230"/>
      <c r="G14" s="230"/>
      <c r="H14" s="230"/>
      <c r="I14" s="230"/>
      <c r="J14" s="230"/>
      <c r="K14" s="230"/>
      <c r="L14" s="230"/>
      <c r="M14" s="230"/>
      <c r="N14" s="230"/>
      <c r="O14" s="230"/>
      <c r="P14" s="230"/>
      <c r="Q14" s="230"/>
      <c r="R14" s="230"/>
      <c r="S14" s="230"/>
      <c r="T14" s="230"/>
      <c r="U14" s="230"/>
      <c r="V14" s="230"/>
      <c r="W14" s="230"/>
      <c r="X14" s="230"/>
      <c r="Y14" s="230"/>
      <c r="Z14" s="230"/>
    </row>
    <row r="15" spans="1:26" ht="43.5" customHeight="1">
      <c r="A15" s="429" t="s">
        <v>44</v>
      </c>
      <c r="B15" s="434" t="s">
        <v>156</v>
      </c>
      <c r="C15" s="431"/>
      <c r="D15" s="230"/>
      <c r="E15" s="230"/>
      <c r="F15" s="230"/>
      <c r="G15" s="230"/>
      <c r="H15" s="230"/>
      <c r="I15" s="230"/>
      <c r="J15" s="230"/>
      <c r="K15" s="230"/>
      <c r="L15" s="230"/>
      <c r="M15" s="230"/>
      <c r="N15" s="230"/>
      <c r="O15" s="230"/>
      <c r="P15" s="230"/>
      <c r="Q15" s="230"/>
      <c r="R15" s="230"/>
      <c r="S15" s="230"/>
      <c r="T15" s="230"/>
      <c r="U15" s="230"/>
      <c r="V15" s="230"/>
      <c r="W15" s="230"/>
      <c r="X15" s="230"/>
      <c r="Y15" s="230"/>
      <c r="Z15" s="230"/>
    </row>
    <row r="16" spans="1:26" ht="32.450000000000003" customHeight="1">
      <c r="A16" s="429" t="s">
        <v>38</v>
      </c>
      <c r="B16" s="434" t="s">
        <v>1112</v>
      </c>
      <c r="C16" s="431"/>
      <c r="D16" s="230"/>
      <c r="E16" s="230"/>
      <c r="F16" s="230"/>
      <c r="G16" s="230"/>
      <c r="H16" s="230"/>
      <c r="I16" s="230"/>
      <c r="J16" s="230"/>
      <c r="K16" s="230"/>
      <c r="L16" s="230"/>
      <c r="M16" s="230"/>
      <c r="N16" s="230"/>
      <c r="O16" s="230"/>
      <c r="P16" s="230"/>
      <c r="Q16" s="230"/>
      <c r="R16" s="230"/>
      <c r="S16" s="230"/>
      <c r="T16" s="230"/>
      <c r="U16" s="230"/>
      <c r="V16" s="230"/>
      <c r="W16" s="230"/>
      <c r="X16" s="230"/>
      <c r="Y16" s="230"/>
      <c r="Z16" s="230"/>
    </row>
    <row r="17" spans="1:26" ht="21.6" customHeight="1">
      <c r="A17" s="429" t="s">
        <v>145</v>
      </c>
      <c r="B17" s="434" t="s">
        <v>149</v>
      </c>
      <c r="C17" s="431"/>
      <c r="D17" s="230"/>
      <c r="E17" s="230"/>
      <c r="F17" s="230"/>
      <c r="G17" s="230"/>
      <c r="H17" s="230"/>
      <c r="I17" s="230"/>
      <c r="J17" s="230"/>
      <c r="K17" s="230"/>
      <c r="L17" s="230"/>
      <c r="M17" s="230"/>
      <c r="N17" s="230"/>
      <c r="O17" s="230"/>
      <c r="P17" s="230"/>
      <c r="Q17" s="230"/>
      <c r="R17" s="230"/>
      <c r="S17" s="230"/>
      <c r="T17" s="230"/>
      <c r="U17" s="230"/>
      <c r="V17" s="230"/>
      <c r="W17" s="230"/>
      <c r="X17" s="230"/>
      <c r="Y17" s="230"/>
      <c r="Z17" s="230"/>
    </row>
    <row r="18" spans="1:26" ht="84.75" customHeight="1">
      <c r="A18" s="432" t="s">
        <v>146</v>
      </c>
      <c r="B18" s="435" t="s">
        <v>1113</v>
      </c>
      <c r="C18" s="435" t="s">
        <v>1114</v>
      </c>
      <c r="D18" s="230"/>
      <c r="E18" s="230"/>
      <c r="F18" s="230"/>
      <c r="G18" s="230"/>
      <c r="H18" s="230"/>
      <c r="I18" s="230"/>
      <c r="J18" s="230"/>
      <c r="K18" s="230"/>
      <c r="L18" s="230"/>
      <c r="M18" s="230"/>
      <c r="N18" s="230"/>
      <c r="O18" s="230"/>
      <c r="P18" s="230"/>
      <c r="Q18" s="230"/>
      <c r="R18" s="230"/>
      <c r="S18" s="230"/>
      <c r="T18" s="230"/>
      <c r="U18" s="230"/>
      <c r="V18" s="230"/>
      <c r="W18" s="230"/>
      <c r="X18" s="230"/>
      <c r="Y18" s="230"/>
      <c r="Z18" s="230"/>
    </row>
    <row r="19" spans="1:26" ht="104.25" customHeight="1">
      <c r="A19" s="432" t="s">
        <v>147</v>
      </c>
      <c r="B19" s="435" t="s">
        <v>1133</v>
      </c>
      <c r="C19" s="435" t="s">
        <v>1115</v>
      </c>
      <c r="D19" s="230"/>
      <c r="E19" s="230"/>
      <c r="F19" s="230"/>
      <c r="G19" s="230"/>
      <c r="H19" s="230"/>
      <c r="I19" s="230"/>
      <c r="J19" s="230"/>
      <c r="K19" s="230"/>
      <c r="L19" s="230"/>
      <c r="M19" s="230"/>
      <c r="N19" s="230"/>
      <c r="O19" s="230"/>
      <c r="P19" s="230"/>
      <c r="Q19" s="230"/>
      <c r="R19" s="230"/>
      <c r="S19" s="230"/>
      <c r="T19" s="230"/>
      <c r="U19" s="230"/>
      <c r="V19" s="230"/>
      <c r="W19" s="230"/>
      <c r="X19" s="230"/>
      <c r="Y19" s="230"/>
      <c r="Z19" s="230"/>
    </row>
    <row r="20" spans="1:26" ht="70.5" customHeight="1">
      <c r="A20" s="432" t="s">
        <v>1120</v>
      </c>
      <c r="B20" s="435" t="s">
        <v>1116</v>
      </c>
      <c r="C20" s="435" t="s">
        <v>1117</v>
      </c>
      <c r="D20" s="230"/>
      <c r="E20" s="230"/>
      <c r="F20" s="230"/>
      <c r="G20" s="230"/>
      <c r="H20" s="230"/>
      <c r="I20" s="230"/>
      <c r="J20" s="230"/>
      <c r="K20" s="230"/>
      <c r="L20" s="230"/>
      <c r="M20" s="230"/>
      <c r="N20" s="230"/>
      <c r="O20" s="230"/>
      <c r="P20" s="230"/>
      <c r="Q20" s="230"/>
      <c r="R20" s="230"/>
      <c r="S20" s="230"/>
      <c r="T20" s="230"/>
      <c r="U20" s="230"/>
      <c r="V20" s="230"/>
      <c r="W20" s="230"/>
      <c r="X20" s="230"/>
      <c r="Y20" s="230"/>
      <c r="Z20" s="230"/>
    </row>
    <row r="21" spans="1:26" ht="75.75" customHeight="1">
      <c r="A21" s="432" t="s">
        <v>1121</v>
      </c>
      <c r="B21" s="435" t="s">
        <v>1118</v>
      </c>
      <c r="C21" s="435" t="s">
        <v>1119</v>
      </c>
      <c r="D21" s="230"/>
      <c r="E21" s="230"/>
      <c r="F21" s="230"/>
      <c r="G21" s="230"/>
      <c r="H21" s="230"/>
      <c r="I21" s="230"/>
      <c r="J21" s="230"/>
      <c r="K21" s="230"/>
      <c r="L21" s="230"/>
      <c r="M21" s="230"/>
      <c r="N21" s="230"/>
      <c r="O21" s="230"/>
      <c r="P21" s="230"/>
      <c r="Q21" s="230"/>
      <c r="R21" s="230"/>
      <c r="S21" s="230"/>
      <c r="T21" s="230"/>
      <c r="U21" s="230"/>
      <c r="V21" s="230"/>
      <c r="W21" s="230"/>
      <c r="X21" s="230"/>
      <c r="Y21" s="230"/>
      <c r="Z21" s="230"/>
    </row>
    <row r="22" spans="1:26" ht="21.6" customHeight="1">
      <c r="A22" s="429" t="s">
        <v>148</v>
      </c>
      <c r="B22" s="434" t="s">
        <v>154</v>
      </c>
      <c r="C22" s="431"/>
      <c r="D22" s="230"/>
      <c r="E22" s="230"/>
      <c r="F22" s="230"/>
      <c r="G22" s="230"/>
      <c r="H22" s="230"/>
      <c r="I22" s="230"/>
      <c r="J22" s="230"/>
      <c r="K22" s="230"/>
      <c r="L22" s="230"/>
      <c r="M22" s="230"/>
      <c r="N22" s="230"/>
      <c r="O22" s="230"/>
      <c r="P22" s="230"/>
      <c r="Q22" s="230"/>
      <c r="R22" s="230"/>
      <c r="S22" s="230"/>
      <c r="T22" s="230"/>
      <c r="U22" s="230"/>
      <c r="V22" s="230"/>
      <c r="W22" s="230"/>
      <c r="X22" s="230"/>
      <c r="Y22" s="230"/>
      <c r="Z22" s="230"/>
    </row>
    <row r="23" spans="1:26" ht="37.5">
      <c r="A23" s="432" t="s">
        <v>146</v>
      </c>
      <c r="B23" s="436" t="s">
        <v>1122</v>
      </c>
      <c r="C23" s="435" t="s">
        <v>1123</v>
      </c>
      <c r="D23" s="230"/>
      <c r="E23" s="230"/>
      <c r="F23" s="230"/>
      <c r="G23" s="230"/>
      <c r="H23" s="230"/>
      <c r="I23" s="230"/>
      <c r="J23" s="230"/>
      <c r="K23" s="230"/>
      <c r="L23" s="230"/>
      <c r="M23" s="230"/>
      <c r="N23" s="230"/>
      <c r="O23" s="230"/>
      <c r="P23" s="230"/>
      <c r="Q23" s="230"/>
      <c r="R23" s="230"/>
      <c r="S23" s="230"/>
      <c r="T23" s="230"/>
      <c r="U23" s="230"/>
      <c r="V23" s="230"/>
      <c r="W23" s="230"/>
      <c r="X23" s="230"/>
      <c r="Y23" s="230"/>
      <c r="Z23" s="230"/>
    </row>
    <row r="24" spans="1:26" ht="81" customHeight="1">
      <c r="A24" s="432" t="s">
        <v>147</v>
      </c>
      <c r="B24" s="437" t="s">
        <v>1132</v>
      </c>
      <c r="C24" s="435" t="s">
        <v>1124</v>
      </c>
      <c r="D24" s="230"/>
      <c r="E24" s="230"/>
      <c r="F24" s="230"/>
      <c r="G24" s="230"/>
      <c r="H24" s="230"/>
      <c r="I24" s="230"/>
      <c r="J24" s="230"/>
      <c r="K24" s="230"/>
      <c r="L24" s="230"/>
      <c r="M24" s="230"/>
      <c r="N24" s="230"/>
      <c r="O24" s="230"/>
      <c r="P24" s="230"/>
      <c r="Q24" s="230"/>
      <c r="R24" s="230"/>
      <c r="S24" s="230"/>
      <c r="T24" s="230"/>
      <c r="U24" s="230"/>
      <c r="V24" s="230"/>
      <c r="W24" s="230"/>
      <c r="X24" s="230"/>
      <c r="Y24" s="230"/>
      <c r="Z24" s="230"/>
    </row>
    <row r="25" spans="1:26" ht="75">
      <c r="A25" s="432" t="s">
        <v>1120</v>
      </c>
      <c r="B25" s="438" t="s">
        <v>1125</v>
      </c>
      <c r="C25" s="435" t="s">
        <v>1126</v>
      </c>
      <c r="D25" s="230"/>
      <c r="E25" s="230"/>
      <c r="F25" s="230"/>
      <c r="G25" s="230"/>
      <c r="H25" s="230"/>
      <c r="I25" s="230"/>
      <c r="J25" s="230"/>
      <c r="K25" s="230"/>
      <c r="L25" s="230"/>
      <c r="M25" s="230"/>
      <c r="N25" s="230"/>
      <c r="O25" s="230"/>
      <c r="P25" s="230"/>
      <c r="Q25" s="230"/>
      <c r="R25" s="230"/>
      <c r="S25" s="230"/>
      <c r="T25" s="230"/>
      <c r="U25" s="230"/>
      <c r="V25" s="230"/>
      <c r="W25" s="230"/>
      <c r="X25" s="230"/>
      <c r="Y25" s="230"/>
      <c r="Z25" s="230"/>
    </row>
    <row r="26" spans="1:26" ht="48" customHeight="1">
      <c r="A26" s="432" t="s">
        <v>1121</v>
      </c>
      <c r="B26" s="438" t="s">
        <v>1127</v>
      </c>
      <c r="C26" s="435" t="s">
        <v>1128</v>
      </c>
      <c r="D26" s="230"/>
      <c r="E26" s="230"/>
      <c r="F26" s="230"/>
      <c r="G26" s="230"/>
      <c r="H26" s="230"/>
      <c r="I26" s="230"/>
      <c r="J26" s="230"/>
      <c r="K26" s="230"/>
      <c r="L26" s="230"/>
      <c r="M26" s="230"/>
      <c r="N26" s="230"/>
      <c r="O26" s="230"/>
      <c r="P26" s="230"/>
      <c r="Q26" s="230"/>
      <c r="R26" s="230"/>
      <c r="S26" s="230"/>
      <c r="T26" s="230"/>
      <c r="U26" s="230"/>
      <c r="V26" s="230"/>
      <c r="W26" s="230"/>
      <c r="X26" s="230"/>
      <c r="Y26" s="230"/>
      <c r="Z26" s="230"/>
    </row>
    <row r="27" spans="1:26" ht="75">
      <c r="A27" s="432" t="s">
        <v>1131</v>
      </c>
      <c r="B27" s="435" t="s">
        <v>1129</v>
      </c>
      <c r="C27" s="435" t="s">
        <v>1130</v>
      </c>
      <c r="D27" s="230"/>
      <c r="E27" s="230"/>
      <c r="F27" s="230"/>
      <c r="G27" s="230"/>
      <c r="H27" s="230"/>
      <c r="I27" s="230"/>
      <c r="J27" s="230"/>
      <c r="K27" s="230"/>
      <c r="L27" s="230"/>
      <c r="M27" s="230"/>
      <c r="N27" s="230"/>
      <c r="O27" s="230"/>
      <c r="P27" s="230"/>
      <c r="Q27" s="230"/>
      <c r="R27" s="230"/>
      <c r="S27" s="230"/>
      <c r="T27" s="230"/>
      <c r="U27" s="230"/>
      <c r="V27" s="230"/>
      <c r="W27" s="230"/>
      <c r="X27" s="230"/>
      <c r="Y27" s="230"/>
      <c r="Z27" s="230"/>
    </row>
    <row r="28" spans="1:26" ht="48" customHeight="1">
      <c r="A28" s="429" t="s">
        <v>43</v>
      </c>
      <c r="B28" s="434" t="s">
        <v>1360</v>
      </c>
      <c r="C28" s="431"/>
      <c r="D28" s="230"/>
      <c r="E28" s="230"/>
      <c r="F28" s="230"/>
      <c r="G28" s="230"/>
      <c r="H28" s="230"/>
      <c r="I28" s="230"/>
      <c r="J28" s="230"/>
      <c r="K28" s="230"/>
      <c r="L28" s="230"/>
      <c r="M28" s="230"/>
      <c r="N28" s="230"/>
      <c r="O28" s="230"/>
      <c r="P28" s="230"/>
      <c r="Q28" s="230"/>
      <c r="R28" s="230"/>
      <c r="S28" s="230"/>
      <c r="T28" s="230"/>
      <c r="U28" s="230"/>
      <c r="V28" s="230"/>
      <c r="W28" s="230"/>
      <c r="X28" s="230"/>
      <c r="Y28" s="230"/>
      <c r="Z28" s="230"/>
    </row>
    <row r="29" spans="1:26" ht="75">
      <c r="A29" s="432">
        <v>1</v>
      </c>
      <c r="B29" s="435" t="s">
        <v>1350</v>
      </c>
      <c r="C29" s="435" t="s">
        <v>1351</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row>
    <row r="30" spans="1:26" ht="93.75">
      <c r="A30" s="432">
        <v>2</v>
      </c>
      <c r="B30" s="435" t="s">
        <v>1352</v>
      </c>
      <c r="C30" s="435" t="s">
        <v>1353</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row>
    <row r="31" spans="1:26" ht="56.25">
      <c r="A31" s="432">
        <v>3</v>
      </c>
      <c r="B31" s="435" t="s">
        <v>1354</v>
      </c>
      <c r="C31" s="435" t="s">
        <v>1355</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row>
    <row r="32" spans="1:26" ht="93.75">
      <c r="A32" s="432">
        <v>4</v>
      </c>
      <c r="B32" s="435" t="s">
        <v>1356</v>
      </c>
      <c r="C32" s="435" t="s">
        <v>1357</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row>
    <row r="33" spans="1:26" ht="93.75">
      <c r="A33" s="439">
        <v>5</v>
      </c>
      <c r="B33" s="435" t="s">
        <v>1358</v>
      </c>
      <c r="C33" s="435" t="s">
        <v>1359</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row>
    <row r="34" spans="1:26">
      <c r="A34" s="440"/>
      <c r="B34" s="441"/>
      <c r="C34" s="441"/>
      <c r="D34" s="230"/>
      <c r="E34" s="230"/>
      <c r="F34" s="230"/>
      <c r="G34" s="230"/>
      <c r="H34" s="230"/>
      <c r="I34" s="230"/>
      <c r="J34" s="230"/>
      <c r="K34" s="230"/>
      <c r="L34" s="230"/>
      <c r="M34" s="230"/>
      <c r="N34" s="230"/>
      <c r="O34" s="230"/>
      <c r="P34" s="230"/>
      <c r="Q34" s="230"/>
      <c r="R34" s="230"/>
      <c r="S34" s="230"/>
      <c r="T34" s="230"/>
      <c r="U34" s="230"/>
      <c r="V34" s="230"/>
      <c r="W34" s="230"/>
      <c r="X34" s="230"/>
      <c r="Y34" s="230"/>
      <c r="Z34" s="230"/>
    </row>
    <row r="35" spans="1:26">
      <c r="A35" s="517"/>
      <c r="B35" s="517"/>
      <c r="C35" s="517"/>
      <c r="D35" s="230"/>
      <c r="E35" s="230"/>
      <c r="F35" s="230"/>
      <c r="G35" s="230"/>
      <c r="H35" s="230"/>
      <c r="I35" s="230"/>
      <c r="J35" s="230"/>
      <c r="K35" s="230"/>
      <c r="L35" s="230"/>
      <c r="M35" s="230"/>
      <c r="N35" s="230"/>
      <c r="O35" s="230"/>
      <c r="P35" s="230"/>
      <c r="Q35" s="230"/>
      <c r="R35" s="230"/>
      <c r="S35" s="230"/>
      <c r="T35" s="230"/>
      <c r="U35" s="230"/>
      <c r="V35" s="230"/>
      <c r="W35" s="230"/>
      <c r="X35" s="230"/>
      <c r="Y35" s="230"/>
      <c r="Z35" s="230"/>
    </row>
    <row r="36" spans="1:26">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row>
    <row r="37" spans="1:26">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row>
    <row r="38" spans="1:26">
      <c r="B38" s="230"/>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row>
    <row r="39" spans="1:26">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row>
    <row r="40" spans="1:26">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row>
    <row r="41" spans="1:26">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row>
    <row r="42" spans="1:26">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row>
    <row r="43" spans="1:26">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row>
    <row r="44" spans="1:26">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row>
    <row r="45" spans="1:26">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row>
    <row r="46" spans="1:26">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row>
    <row r="47" spans="1:26">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row>
    <row r="48" spans="1:26">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row>
    <row r="49" spans="2:26">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row>
    <row r="50" spans="2:26">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row>
    <row r="51" spans="2:26">
      <c r="B51" s="230"/>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row>
    <row r="52" spans="2:26">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row>
    <row r="53" spans="2:26">
      <c r="B53" s="230"/>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row>
    <row r="54" spans="2:26">
      <c r="B54" s="230"/>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row>
    <row r="55" spans="2:26">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row>
    <row r="56" spans="2:26">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row>
    <row r="57" spans="2:26">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row>
    <row r="58" spans="2:26">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row>
    <row r="59" spans="2:26">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row>
    <row r="60" spans="2:26">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row>
    <row r="61" spans="2:26">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row>
    <row r="62" spans="2:26">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row>
    <row r="63" spans="2:26">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row>
    <row r="64" spans="2:26">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row>
    <row r="65" spans="2:26">
      <c r="B65" s="230"/>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row>
    <row r="66" spans="2:26">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row>
    <row r="67" spans="2:26">
      <c r="B67" s="230"/>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row>
    <row r="68" spans="2:26">
      <c r="B68" s="230"/>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row>
    <row r="69" spans="2:26">
      <c r="B69" s="230"/>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row>
    <row r="70" spans="2:26">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row>
    <row r="71" spans="2:26">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row>
    <row r="72" spans="2:26">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row>
    <row r="73" spans="2:26">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row>
    <row r="74" spans="2:26">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row>
    <row r="75" spans="2:26">
      <c r="B75" s="230"/>
      <c r="C75" s="230"/>
      <c r="D75" s="230"/>
      <c r="E75" s="230"/>
      <c r="F75" s="230"/>
      <c r="G75" s="230"/>
      <c r="H75" s="230"/>
      <c r="I75" s="230"/>
      <c r="J75" s="230"/>
      <c r="K75" s="230"/>
      <c r="L75" s="230"/>
      <c r="M75" s="230"/>
      <c r="N75" s="230"/>
      <c r="O75" s="230"/>
      <c r="P75" s="230"/>
      <c r="Q75" s="230"/>
      <c r="R75" s="230"/>
      <c r="S75" s="230"/>
      <c r="T75" s="230"/>
      <c r="U75" s="230"/>
      <c r="V75" s="230"/>
      <c r="W75" s="230"/>
      <c r="X75" s="230"/>
      <c r="Y75" s="230"/>
      <c r="Z75" s="230"/>
    </row>
    <row r="76" spans="2:26">
      <c r="B76" s="230"/>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row>
    <row r="77" spans="2:26">
      <c r="B77" s="230"/>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0"/>
    </row>
    <row r="78" spans="2:26">
      <c r="B78" s="230"/>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row>
    <row r="79" spans="2:26">
      <c r="B79" s="230"/>
      <c r="C79" s="230"/>
      <c r="D79" s="230"/>
      <c r="E79" s="230"/>
      <c r="F79" s="230"/>
      <c r="G79" s="230"/>
      <c r="H79" s="230"/>
      <c r="I79" s="230"/>
      <c r="J79" s="230"/>
      <c r="K79" s="230"/>
      <c r="L79" s="230"/>
      <c r="M79" s="230"/>
      <c r="N79" s="230"/>
      <c r="O79" s="230"/>
      <c r="P79" s="230"/>
      <c r="Q79" s="230"/>
      <c r="R79" s="230"/>
      <c r="S79" s="230"/>
      <c r="T79" s="230"/>
      <c r="U79" s="230"/>
      <c r="V79" s="230"/>
      <c r="W79" s="230"/>
      <c r="X79" s="230"/>
      <c r="Y79" s="230"/>
      <c r="Z79" s="230"/>
    </row>
    <row r="80" spans="2:26">
      <c r="B80" s="230"/>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row>
    <row r="81" spans="2:26">
      <c r="B81" s="230"/>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row>
    <row r="82" spans="2:26">
      <c r="B82" s="230"/>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row>
    <row r="83" spans="2:26">
      <c r="B83" s="23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row>
    <row r="84" spans="2:26">
      <c r="B84" s="230"/>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row>
    <row r="85" spans="2:26">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row>
    <row r="86" spans="2:26">
      <c r="B86" s="230"/>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row>
    <row r="87" spans="2:26">
      <c r="B87" s="230"/>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row>
    <row r="88" spans="2:26">
      <c r="B88" s="230"/>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row>
    <row r="89" spans="2:26">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row>
    <row r="90" spans="2:26">
      <c r="B90" s="230"/>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row>
    <row r="91" spans="2:26">
      <c r="B91" s="230"/>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row>
    <row r="92" spans="2:26">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row>
    <row r="93" spans="2:26">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row>
    <row r="94" spans="2:26">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row>
    <row r="95" spans="2:26">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row>
    <row r="96" spans="2:26">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row>
    <row r="97" spans="2:26">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row>
    <row r="98" spans="2:26">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row>
    <row r="99" spans="2:26">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row>
    <row r="100" spans="2:26">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row>
    <row r="101" spans="2:26">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row>
    <row r="102" spans="2:26">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row>
    <row r="103" spans="2:26">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row>
    <row r="104" spans="2:26">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row>
    <row r="105" spans="2:26">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row>
    <row r="106" spans="2:26">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row>
    <row r="107" spans="2:26">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row>
    <row r="108" spans="2:26">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row>
    <row r="109" spans="2:26">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row>
    <row r="110" spans="2:26">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row>
    <row r="111" spans="2:26">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row>
    <row r="112" spans="2:26">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row>
    <row r="113" spans="2:26">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row>
    <row r="114" spans="2:26">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row>
    <row r="115" spans="2:26">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row>
    <row r="116" spans="2:26">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row>
    <row r="117" spans="2:26">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row>
    <row r="118" spans="2:26">
      <c r="B118" s="230"/>
      <c r="C118" s="230"/>
      <c r="D118" s="230"/>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row>
    <row r="119" spans="2:26">
      <c r="B119" s="230"/>
      <c r="C119" s="230"/>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row>
    <row r="120" spans="2:26">
      <c r="B120" s="230"/>
      <c r="C120" s="230"/>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row>
    <row r="121" spans="2:26">
      <c r="B121" s="230"/>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row>
    <row r="122" spans="2:26">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row>
    <row r="123" spans="2:26">
      <c r="B123" s="230"/>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row>
    <row r="124" spans="2:26">
      <c r="B124" s="230"/>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row>
    <row r="125" spans="2:26">
      <c r="B125" s="230"/>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row>
    <row r="126" spans="2:26">
      <c r="B126" s="230"/>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row>
    <row r="127" spans="2:26">
      <c r="B127" s="230"/>
      <c r="C127" s="230"/>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row>
    <row r="128" spans="2:26">
      <c r="B128" s="230"/>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row>
    <row r="129" spans="2:26">
      <c r="B129" s="230"/>
      <c r="C129" s="230"/>
      <c r="D129" s="230"/>
      <c r="E129" s="230"/>
      <c r="F129" s="230"/>
      <c r="G129" s="230"/>
      <c r="H129" s="230"/>
      <c r="I129" s="230"/>
      <c r="J129" s="230"/>
      <c r="K129" s="230"/>
      <c r="L129" s="230"/>
      <c r="M129" s="230"/>
      <c r="N129" s="230"/>
      <c r="O129" s="230"/>
      <c r="P129" s="230"/>
      <c r="Q129" s="230"/>
      <c r="R129" s="230"/>
      <c r="S129" s="230"/>
      <c r="T129" s="230"/>
      <c r="U129" s="230"/>
      <c r="V129" s="230"/>
      <c r="W129" s="230"/>
      <c r="X129" s="230"/>
      <c r="Y129" s="230"/>
      <c r="Z129" s="230"/>
    </row>
    <row r="130" spans="2:26">
      <c r="B130" s="230"/>
      <c r="C130" s="230"/>
      <c r="D130" s="230"/>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row>
    <row r="131" spans="2:26">
      <c r="B131" s="230"/>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row>
    <row r="132" spans="2:26">
      <c r="B132" s="230"/>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row>
    <row r="133" spans="2:26">
      <c r="B133" s="230"/>
      <c r="C133" s="230"/>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row>
    <row r="134" spans="2:26">
      <c r="B134" s="230"/>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row>
    <row r="135" spans="2:26">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row>
    <row r="136" spans="2:26">
      <c r="B136" s="230"/>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row>
    <row r="137" spans="2:26">
      <c r="B137" s="230"/>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row>
    <row r="138" spans="2:26">
      <c r="B138" s="230"/>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row>
    <row r="139" spans="2:26">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row>
    <row r="140" spans="2:26">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row>
    <row r="141" spans="2:26">
      <c r="B141" s="230"/>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row>
    <row r="142" spans="2:26">
      <c r="B142" s="230"/>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row>
    <row r="143" spans="2:26">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row>
    <row r="144" spans="2:26">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row>
    <row r="145" spans="2:26">
      <c r="B145" s="230"/>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row>
    <row r="146" spans="2:26">
      <c r="B146" s="230"/>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row>
    <row r="147" spans="2:26">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row>
    <row r="148" spans="2:26">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row>
    <row r="149" spans="2:26">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row>
    <row r="150" spans="2:26">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row>
    <row r="151" spans="2:26">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row>
    <row r="152" spans="2:26">
      <c r="B152" s="23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row>
    <row r="153" spans="2:26">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row>
    <row r="154" spans="2:26">
      <c r="B154" s="23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row>
    <row r="155" spans="2:26">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row>
    <row r="156" spans="2:26">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row>
    <row r="157" spans="2:26">
      <c r="B157" s="23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row>
    <row r="158" spans="2:26">
      <c r="B158" s="23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row>
    <row r="159" spans="2:26">
      <c r="B159" s="230"/>
      <c r="C159" s="230"/>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row>
    <row r="160" spans="2:26">
      <c r="B160" s="230"/>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row>
    <row r="161" spans="2:26">
      <c r="B161" s="230"/>
      <c r="C161" s="230"/>
      <c r="D161" s="230"/>
      <c r="E161" s="230"/>
      <c r="F161" s="230"/>
      <c r="G161" s="230"/>
      <c r="H161" s="230"/>
      <c r="I161" s="230"/>
      <c r="J161" s="230"/>
      <c r="K161" s="230"/>
      <c r="L161" s="230"/>
      <c r="M161" s="230"/>
      <c r="N161" s="230"/>
      <c r="O161" s="230"/>
      <c r="P161" s="230"/>
      <c r="Q161" s="230"/>
      <c r="R161" s="230"/>
      <c r="S161" s="230"/>
      <c r="T161" s="230"/>
      <c r="U161" s="230"/>
      <c r="V161" s="230"/>
      <c r="W161" s="230"/>
      <c r="X161" s="230"/>
      <c r="Y161" s="230"/>
      <c r="Z161" s="230"/>
    </row>
    <row r="162" spans="2:26">
      <c r="B162" s="230"/>
      <c r="C162" s="230"/>
      <c r="D162" s="230"/>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row>
    <row r="163" spans="2:26">
      <c r="B163" s="230"/>
      <c r="C163" s="230"/>
      <c r="D163" s="230"/>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row>
    <row r="164" spans="2:26">
      <c r="B164" s="230"/>
      <c r="C164" s="230"/>
      <c r="D164" s="230"/>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row>
    <row r="165" spans="2:26">
      <c r="B165" s="230"/>
      <c r="C165" s="230"/>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row>
    <row r="166" spans="2:26">
      <c r="B166" s="230"/>
      <c r="C166" s="230"/>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row>
    <row r="167" spans="2:26">
      <c r="B167" s="230"/>
      <c r="C167" s="230"/>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row>
    <row r="168" spans="2:26">
      <c r="B168" s="230"/>
      <c r="C168" s="230"/>
      <c r="D168" s="230"/>
      <c r="E168" s="230"/>
      <c r="F168" s="230"/>
      <c r="G168" s="230"/>
      <c r="H168" s="230"/>
      <c r="I168" s="230"/>
      <c r="J168" s="230"/>
      <c r="K168" s="230"/>
      <c r="L168" s="230"/>
      <c r="M168" s="230"/>
      <c r="N168" s="230"/>
      <c r="O168" s="230"/>
      <c r="P168" s="230"/>
      <c r="Q168" s="230"/>
      <c r="R168" s="230"/>
      <c r="S168" s="230"/>
      <c r="T168" s="230"/>
      <c r="U168" s="230"/>
      <c r="V168" s="230"/>
      <c r="W168" s="230"/>
      <c r="X168" s="230"/>
      <c r="Y168" s="230"/>
      <c r="Z168" s="230"/>
    </row>
    <row r="169" spans="2:26">
      <c r="B169" s="230"/>
      <c r="C169" s="23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row>
    <row r="170" spans="2:26">
      <c r="B170" s="230"/>
      <c r="C170" s="230"/>
      <c r="D170" s="230"/>
      <c r="E170" s="230"/>
      <c r="F170" s="230"/>
      <c r="G170" s="230"/>
      <c r="H170" s="230"/>
      <c r="I170" s="230"/>
      <c r="J170" s="230"/>
      <c r="K170" s="230"/>
      <c r="L170" s="230"/>
      <c r="M170" s="230"/>
      <c r="N170" s="230"/>
      <c r="O170" s="230"/>
      <c r="P170" s="230"/>
      <c r="Q170" s="230"/>
      <c r="R170" s="230"/>
      <c r="S170" s="230"/>
      <c r="T170" s="230"/>
      <c r="U170" s="230"/>
      <c r="V170" s="230"/>
      <c r="W170" s="230"/>
      <c r="X170" s="230"/>
      <c r="Y170" s="230"/>
      <c r="Z170" s="230"/>
    </row>
    <row r="171" spans="2:26">
      <c r="B171" s="230"/>
      <c r="C171" s="230"/>
      <c r="D171" s="230"/>
      <c r="E171" s="230"/>
      <c r="F171" s="230"/>
      <c r="G171" s="230"/>
      <c r="H171" s="230"/>
      <c r="I171" s="230"/>
      <c r="J171" s="230"/>
      <c r="K171" s="230"/>
      <c r="L171" s="230"/>
      <c r="M171" s="230"/>
      <c r="N171" s="230"/>
      <c r="O171" s="230"/>
      <c r="P171" s="230"/>
      <c r="Q171" s="230"/>
      <c r="R171" s="230"/>
      <c r="S171" s="230"/>
      <c r="T171" s="230"/>
      <c r="U171" s="230"/>
      <c r="V171" s="230"/>
      <c r="W171" s="230"/>
      <c r="X171" s="230"/>
      <c r="Y171" s="230"/>
      <c r="Z171" s="230"/>
    </row>
    <row r="172" spans="2:26">
      <c r="B172" s="230"/>
      <c r="C172" s="230"/>
      <c r="D172" s="230"/>
      <c r="E172" s="230"/>
      <c r="F172" s="230"/>
      <c r="G172" s="230"/>
      <c r="H172" s="230"/>
      <c r="I172" s="230"/>
      <c r="J172" s="230"/>
      <c r="K172" s="230"/>
      <c r="L172" s="230"/>
      <c r="M172" s="230"/>
      <c r="N172" s="230"/>
      <c r="O172" s="230"/>
      <c r="P172" s="230"/>
      <c r="Q172" s="230"/>
      <c r="R172" s="230"/>
      <c r="S172" s="230"/>
      <c r="T172" s="230"/>
      <c r="U172" s="230"/>
      <c r="V172" s="230"/>
      <c r="W172" s="230"/>
      <c r="X172" s="230"/>
      <c r="Y172" s="230"/>
      <c r="Z172" s="230"/>
    </row>
    <row r="173" spans="2:26">
      <c r="B173" s="230"/>
      <c r="C173" s="230"/>
      <c r="D173" s="230"/>
      <c r="E173" s="230"/>
      <c r="F173" s="230"/>
      <c r="G173" s="230"/>
      <c r="H173" s="230"/>
      <c r="I173" s="230"/>
      <c r="J173" s="230"/>
      <c r="K173" s="230"/>
      <c r="L173" s="230"/>
      <c r="M173" s="230"/>
      <c r="N173" s="230"/>
      <c r="O173" s="230"/>
      <c r="P173" s="230"/>
      <c r="Q173" s="230"/>
      <c r="R173" s="230"/>
      <c r="S173" s="230"/>
      <c r="T173" s="230"/>
      <c r="U173" s="230"/>
      <c r="V173" s="230"/>
      <c r="W173" s="230"/>
      <c r="X173" s="230"/>
      <c r="Y173" s="230"/>
      <c r="Z173" s="230"/>
    </row>
    <row r="174" spans="2:26">
      <c r="B174" s="230"/>
      <c r="C174" s="230"/>
      <c r="D174" s="230"/>
      <c r="E174" s="230"/>
      <c r="F174" s="230"/>
      <c r="G174" s="230"/>
      <c r="H174" s="230"/>
      <c r="I174" s="230"/>
      <c r="J174" s="230"/>
      <c r="K174" s="230"/>
      <c r="L174" s="230"/>
      <c r="M174" s="230"/>
      <c r="N174" s="230"/>
      <c r="O174" s="230"/>
      <c r="P174" s="230"/>
      <c r="Q174" s="230"/>
      <c r="R174" s="230"/>
      <c r="S174" s="230"/>
      <c r="T174" s="230"/>
      <c r="U174" s="230"/>
      <c r="V174" s="230"/>
      <c r="W174" s="230"/>
      <c r="X174" s="230"/>
      <c r="Y174" s="230"/>
      <c r="Z174" s="230"/>
    </row>
    <row r="175" spans="2:26">
      <c r="B175" s="230"/>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row>
    <row r="176" spans="2:26">
      <c r="B176" s="230"/>
      <c r="C176" s="230"/>
      <c r="D176" s="230"/>
      <c r="E176" s="230"/>
      <c r="F176" s="230"/>
      <c r="G176" s="230"/>
      <c r="H176" s="230"/>
      <c r="I176" s="230"/>
      <c r="J176" s="230"/>
      <c r="K176" s="230"/>
      <c r="L176" s="230"/>
      <c r="M176" s="230"/>
      <c r="N176" s="230"/>
      <c r="O176" s="230"/>
      <c r="P176" s="230"/>
      <c r="Q176" s="230"/>
      <c r="R176" s="230"/>
      <c r="S176" s="230"/>
      <c r="T176" s="230"/>
      <c r="U176" s="230"/>
      <c r="V176" s="230"/>
      <c r="W176" s="230"/>
      <c r="X176" s="230"/>
      <c r="Y176" s="230"/>
      <c r="Z176" s="230"/>
    </row>
    <row r="177" spans="2:26">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row>
    <row r="178" spans="2:26">
      <c r="B178" s="230"/>
      <c r="C178" s="230"/>
      <c r="D178" s="230"/>
      <c r="E178" s="230"/>
      <c r="F178" s="230"/>
      <c r="G178" s="230"/>
      <c r="H178" s="230"/>
      <c r="I178" s="230"/>
      <c r="J178" s="230"/>
      <c r="K178" s="230"/>
      <c r="L178" s="230"/>
      <c r="M178" s="230"/>
      <c r="N178" s="230"/>
      <c r="O178" s="230"/>
      <c r="P178" s="230"/>
      <c r="Q178" s="230"/>
      <c r="R178" s="230"/>
      <c r="S178" s="230"/>
      <c r="T178" s="230"/>
      <c r="U178" s="230"/>
      <c r="V178" s="230"/>
      <c r="W178" s="230"/>
      <c r="X178" s="230"/>
      <c r="Y178" s="230"/>
      <c r="Z178" s="230"/>
    </row>
    <row r="179" spans="2:26">
      <c r="B179" s="230"/>
      <c r="C179" s="230"/>
      <c r="D179" s="230"/>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row>
    <row r="180" spans="2:26">
      <c r="B180" s="230"/>
      <c r="C180" s="230"/>
      <c r="D180" s="230"/>
      <c r="E180" s="230"/>
      <c r="F180" s="230"/>
      <c r="G180" s="230"/>
      <c r="H180" s="230"/>
      <c r="I180" s="230"/>
      <c r="J180" s="230"/>
      <c r="K180" s="230"/>
      <c r="L180" s="230"/>
      <c r="M180" s="230"/>
      <c r="N180" s="230"/>
      <c r="O180" s="230"/>
      <c r="P180" s="230"/>
      <c r="Q180" s="230"/>
      <c r="R180" s="230"/>
      <c r="S180" s="230"/>
      <c r="T180" s="230"/>
      <c r="U180" s="230"/>
      <c r="V180" s="230"/>
      <c r="W180" s="230"/>
      <c r="X180" s="230"/>
      <c r="Y180" s="230"/>
      <c r="Z180" s="230"/>
    </row>
    <row r="181" spans="2:26">
      <c r="B181" s="230"/>
      <c r="C181" s="230"/>
      <c r="D181" s="230"/>
      <c r="E181" s="230"/>
      <c r="F181" s="230"/>
      <c r="G181" s="230"/>
      <c r="H181" s="230"/>
      <c r="I181" s="230"/>
      <c r="J181" s="230"/>
      <c r="K181" s="230"/>
      <c r="L181" s="230"/>
      <c r="M181" s="230"/>
      <c r="N181" s="230"/>
      <c r="O181" s="230"/>
      <c r="P181" s="230"/>
      <c r="Q181" s="230"/>
      <c r="R181" s="230"/>
      <c r="S181" s="230"/>
      <c r="T181" s="230"/>
      <c r="U181" s="230"/>
      <c r="V181" s="230"/>
      <c r="W181" s="230"/>
      <c r="X181" s="230"/>
      <c r="Y181" s="230"/>
      <c r="Z181" s="230"/>
    </row>
    <row r="182" spans="2:26">
      <c r="B182" s="230"/>
      <c r="C182" s="230"/>
      <c r="D182" s="230"/>
      <c r="E182" s="230"/>
      <c r="F182" s="230"/>
      <c r="G182" s="230"/>
      <c r="H182" s="230"/>
      <c r="I182" s="230"/>
      <c r="J182" s="230"/>
      <c r="K182" s="230"/>
      <c r="L182" s="230"/>
      <c r="M182" s="230"/>
      <c r="N182" s="230"/>
      <c r="O182" s="230"/>
      <c r="P182" s="230"/>
      <c r="Q182" s="230"/>
      <c r="R182" s="230"/>
      <c r="S182" s="230"/>
      <c r="T182" s="230"/>
      <c r="U182" s="230"/>
      <c r="V182" s="230"/>
      <c r="W182" s="230"/>
      <c r="X182" s="230"/>
      <c r="Y182" s="230"/>
      <c r="Z182" s="230"/>
    </row>
    <row r="183" spans="2:26">
      <c r="B183" s="230"/>
      <c r="C183" s="230"/>
      <c r="D183" s="230"/>
      <c r="E183" s="230"/>
      <c r="F183" s="230"/>
      <c r="G183" s="230"/>
      <c r="H183" s="230"/>
      <c r="I183" s="230"/>
      <c r="J183" s="230"/>
      <c r="K183" s="230"/>
      <c r="L183" s="230"/>
      <c r="M183" s="230"/>
      <c r="N183" s="230"/>
      <c r="O183" s="230"/>
      <c r="P183" s="230"/>
      <c r="Q183" s="230"/>
      <c r="R183" s="230"/>
      <c r="S183" s="230"/>
      <c r="T183" s="230"/>
      <c r="U183" s="230"/>
      <c r="V183" s="230"/>
      <c r="W183" s="230"/>
      <c r="X183" s="230"/>
      <c r="Y183" s="230"/>
      <c r="Z183" s="230"/>
    </row>
    <row r="184" spans="2:26">
      <c r="B184" s="230"/>
      <c r="C184" s="230"/>
      <c r="D184" s="230"/>
      <c r="E184" s="230"/>
      <c r="F184" s="230"/>
      <c r="G184" s="230"/>
      <c r="H184" s="230"/>
      <c r="I184" s="230"/>
      <c r="J184" s="230"/>
      <c r="K184" s="230"/>
      <c r="L184" s="230"/>
      <c r="M184" s="230"/>
      <c r="N184" s="230"/>
      <c r="O184" s="230"/>
      <c r="P184" s="230"/>
      <c r="Q184" s="230"/>
      <c r="R184" s="230"/>
      <c r="S184" s="230"/>
      <c r="T184" s="230"/>
      <c r="U184" s="230"/>
      <c r="V184" s="230"/>
      <c r="W184" s="230"/>
      <c r="X184" s="230"/>
      <c r="Y184" s="230"/>
      <c r="Z184" s="230"/>
    </row>
    <row r="185" spans="2:26">
      <c r="B185" s="230"/>
      <c r="C185" s="230"/>
      <c r="D185" s="230"/>
      <c r="E185" s="230"/>
      <c r="F185" s="230"/>
      <c r="G185" s="230"/>
      <c r="H185" s="230"/>
      <c r="I185" s="230"/>
      <c r="J185" s="230"/>
      <c r="K185" s="230"/>
      <c r="L185" s="230"/>
      <c r="M185" s="230"/>
      <c r="N185" s="230"/>
      <c r="O185" s="230"/>
      <c r="P185" s="230"/>
      <c r="Q185" s="230"/>
      <c r="R185" s="230"/>
      <c r="S185" s="230"/>
      <c r="T185" s="230"/>
      <c r="U185" s="230"/>
      <c r="V185" s="230"/>
      <c r="W185" s="230"/>
      <c r="X185" s="230"/>
      <c r="Y185" s="230"/>
      <c r="Z185" s="230"/>
    </row>
    <row r="186" spans="2:26">
      <c r="B186" s="230"/>
      <c r="C186" s="230"/>
      <c r="D186" s="230"/>
      <c r="E186" s="230"/>
      <c r="F186" s="230"/>
      <c r="G186" s="230"/>
      <c r="H186" s="230"/>
      <c r="I186" s="230"/>
      <c r="J186" s="230"/>
      <c r="K186" s="230"/>
      <c r="L186" s="230"/>
      <c r="M186" s="230"/>
      <c r="N186" s="230"/>
      <c r="O186" s="230"/>
      <c r="P186" s="230"/>
      <c r="Q186" s="230"/>
      <c r="R186" s="230"/>
      <c r="S186" s="230"/>
      <c r="T186" s="230"/>
      <c r="U186" s="230"/>
      <c r="V186" s="230"/>
      <c r="W186" s="230"/>
      <c r="X186" s="230"/>
      <c r="Y186" s="230"/>
      <c r="Z186" s="230"/>
    </row>
    <row r="187" spans="2:26">
      <c r="B187" s="230"/>
      <c r="C187" s="230"/>
      <c r="D187" s="230"/>
      <c r="E187" s="230"/>
      <c r="F187" s="230"/>
      <c r="G187" s="230"/>
      <c r="H187" s="230"/>
      <c r="I187" s="230"/>
      <c r="J187" s="230"/>
      <c r="K187" s="230"/>
      <c r="L187" s="230"/>
      <c r="M187" s="230"/>
      <c r="N187" s="230"/>
      <c r="O187" s="230"/>
      <c r="P187" s="230"/>
      <c r="Q187" s="230"/>
      <c r="R187" s="230"/>
      <c r="S187" s="230"/>
      <c r="T187" s="230"/>
      <c r="U187" s="230"/>
      <c r="V187" s="230"/>
      <c r="W187" s="230"/>
      <c r="X187" s="230"/>
      <c r="Y187" s="230"/>
      <c r="Z187" s="230"/>
    </row>
    <row r="188" spans="2:26">
      <c r="B188" s="230"/>
      <c r="C188" s="230"/>
      <c r="D188" s="230"/>
      <c r="E188" s="230"/>
      <c r="F188" s="230"/>
      <c r="G188" s="230"/>
      <c r="H188" s="230"/>
      <c r="I188" s="230"/>
      <c r="J188" s="230"/>
      <c r="K188" s="230"/>
      <c r="L188" s="230"/>
      <c r="M188" s="230"/>
      <c r="N188" s="230"/>
      <c r="O188" s="230"/>
      <c r="P188" s="230"/>
      <c r="Q188" s="230"/>
      <c r="R188" s="230"/>
      <c r="S188" s="230"/>
      <c r="T188" s="230"/>
      <c r="U188" s="230"/>
      <c r="V188" s="230"/>
      <c r="W188" s="230"/>
      <c r="X188" s="230"/>
      <c r="Y188" s="230"/>
      <c r="Z188" s="230"/>
    </row>
    <row r="189" spans="2:26">
      <c r="B189" s="230"/>
      <c r="C189" s="230"/>
      <c r="D189" s="230"/>
      <c r="E189" s="230"/>
      <c r="F189" s="230"/>
      <c r="G189" s="230"/>
      <c r="H189" s="230"/>
      <c r="I189" s="230"/>
      <c r="J189" s="230"/>
      <c r="K189" s="230"/>
      <c r="L189" s="230"/>
      <c r="M189" s="230"/>
      <c r="N189" s="230"/>
      <c r="O189" s="230"/>
      <c r="P189" s="230"/>
      <c r="Q189" s="230"/>
      <c r="R189" s="230"/>
      <c r="S189" s="230"/>
      <c r="T189" s="230"/>
      <c r="U189" s="230"/>
      <c r="V189" s="230"/>
      <c r="W189" s="230"/>
      <c r="X189" s="230"/>
      <c r="Y189" s="230"/>
      <c r="Z189" s="230"/>
    </row>
    <row r="190" spans="2:26">
      <c r="B190" s="230"/>
      <c r="C190" s="230"/>
      <c r="D190" s="230"/>
      <c r="E190" s="230"/>
      <c r="F190" s="230"/>
      <c r="G190" s="230"/>
      <c r="H190" s="230"/>
      <c r="I190" s="230"/>
      <c r="J190" s="230"/>
      <c r="K190" s="230"/>
      <c r="L190" s="230"/>
      <c r="M190" s="230"/>
      <c r="N190" s="230"/>
      <c r="O190" s="230"/>
      <c r="P190" s="230"/>
      <c r="Q190" s="230"/>
      <c r="R190" s="230"/>
      <c r="S190" s="230"/>
      <c r="T190" s="230"/>
      <c r="U190" s="230"/>
      <c r="V190" s="230"/>
      <c r="W190" s="230"/>
      <c r="X190" s="230"/>
      <c r="Y190" s="230"/>
      <c r="Z190" s="230"/>
    </row>
    <row r="191" spans="2:26">
      <c r="B191" s="230"/>
      <c r="C191" s="230"/>
      <c r="D191" s="230"/>
      <c r="E191" s="230"/>
      <c r="F191" s="230"/>
      <c r="G191" s="230"/>
      <c r="H191" s="230"/>
      <c r="I191" s="230"/>
      <c r="J191" s="230"/>
      <c r="K191" s="230"/>
      <c r="L191" s="230"/>
      <c r="M191" s="230"/>
      <c r="N191" s="230"/>
      <c r="O191" s="230"/>
      <c r="P191" s="230"/>
      <c r="Q191" s="230"/>
      <c r="R191" s="230"/>
      <c r="S191" s="230"/>
      <c r="T191" s="230"/>
      <c r="U191" s="230"/>
      <c r="V191" s="230"/>
      <c r="W191" s="230"/>
      <c r="X191" s="230"/>
      <c r="Y191" s="230"/>
      <c r="Z191" s="230"/>
    </row>
    <row r="192" spans="2:26">
      <c r="B192" s="230"/>
      <c r="C192" s="230"/>
      <c r="D192" s="230"/>
      <c r="E192" s="230"/>
      <c r="F192" s="230"/>
      <c r="G192" s="230"/>
      <c r="H192" s="230"/>
      <c r="I192" s="230"/>
      <c r="J192" s="230"/>
      <c r="K192" s="230"/>
      <c r="L192" s="230"/>
      <c r="M192" s="230"/>
      <c r="N192" s="230"/>
      <c r="O192" s="230"/>
      <c r="P192" s="230"/>
      <c r="Q192" s="230"/>
      <c r="R192" s="230"/>
      <c r="S192" s="230"/>
      <c r="T192" s="230"/>
      <c r="U192" s="230"/>
      <c r="V192" s="230"/>
      <c r="W192" s="230"/>
      <c r="X192" s="230"/>
      <c r="Y192" s="230"/>
      <c r="Z192" s="230"/>
    </row>
    <row r="193" spans="2:26">
      <c r="B193" s="230"/>
      <c r="C193" s="230"/>
      <c r="D193" s="230"/>
      <c r="E193" s="230"/>
      <c r="F193" s="230"/>
      <c r="G193" s="230"/>
      <c r="H193" s="230"/>
      <c r="I193" s="230"/>
      <c r="J193" s="230"/>
      <c r="K193" s="230"/>
      <c r="L193" s="230"/>
      <c r="M193" s="230"/>
      <c r="N193" s="230"/>
      <c r="O193" s="230"/>
      <c r="P193" s="230"/>
      <c r="Q193" s="230"/>
      <c r="R193" s="230"/>
      <c r="S193" s="230"/>
      <c r="T193" s="230"/>
      <c r="U193" s="230"/>
      <c r="V193" s="230"/>
      <c r="W193" s="230"/>
      <c r="X193" s="230"/>
      <c r="Y193" s="230"/>
      <c r="Z193" s="230"/>
    </row>
    <row r="194" spans="2:26">
      <c r="B194" s="230"/>
      <c r="C194" s="230"/>
      <c r="D194" s="230"/>
      <c r="E194" s="230"/>
      <c r="F194" s="230"/>
      <c r="G194" s="230"/>
      <c r="H194" s="230"/>
      <c r="I194" s="230"/>
      <c r="J194" s="230"/>
      <c r="K194" s="230"/>
      <c r="L194" s="230"/>
      <c r="M194" s="230"/>
      <c r="N194" s="230"/>
      <c r="O194" s="230"/>
      <c r="P194" s="230"/>
      <c r="Q194" s="230"/>
      <c r="R194" s="230"/>
      <c r="S194" s="230"/>
      <c r="T194" s="230"/>
      <c r="U194" s="230"/>
      <c r="V194" s="230"/>
      <c r="W194" s="230"/>
      <c r="X194" s="230"/>
      <c r="Y194" s="230"/>
      <c r="Z194" s="230"/>
    </row>
    <row r="195" spans="2:26">
      <c r="B195" s="230"/>
      <c r="C195" s="230"/>
      <c r="D195" s="230"/>
      <c r="E195" s="230"/>
      <c r="F195" s="230"/>
      <c r="G195" s="230"/>
      <c r="H195" s="230"/>
      <c r="I195" s="230"/>
      <c r="J195" s="230"/>
      <c r="K195" s="230"/>
      <c r="L195" s="230"/>
      <c r="M195" s="230"/>
      <c r="N195" s="230"/>
      <c r="O195" s="230"/>
      <c r="P195" s="230"/>
      <c r="Q195" s="230"/>
      <c r="R195" s="230"/>
      <c r="S195" s="230"/>
      <c r="T195" s="230"/>
      <c r="U195" s="230"/>
      <c r="V195" s="230"/>
      <c r="W195" s="230"/>
      <c r="X195" s="230"/>
      <c r="Y195" s="230"/>
      <c r="Z195" s="230"/>
    </row>
    <row r="196" spans="2:26">
      <c r="B196" s="230"/>
      <c r="C196" s="230"/>
      <c r="D196" s="230"/>
      <c r="E196" s="230"/>
      <c r="F196" s="230"/>
      <c r="G196" s="230"/>
      <c r="H196" s="230"/>
      <c r="I196" s="230"/>
      <c r="J196" s="230"/>
      <c r="K196" s="230"/>
      <c r="L196" s="230"/>
      <c r="M196" s="230"/>
      <c r="N196" s="230"/>
      <c r="O196" s="230"/>
      <c r="P196" s="230"/>
      <c r="Q196" s="230"/>
      <c r="R196" s="230"/>
      <c r="S196" s="230"/>
      <c r="T196" s="230"/>
      <c r="U196" s="230"/>
      <c r="V196" s="230"/>
      <c r="W196" s="230"/>
      <c r="X196" s="230"/>
      <c r="Y196" s="230"/>
      <c r="Z196" s="230"/>
    </row>
    <row r="197" spans="2:26">
      <c r="B197" s="230"/>
      <c r="C197" s="230"/>
      <c r="D197" s="230"/>
      <c r="E197" s="230"/>
      <c r="F197" s="230"/>
      <c r="G197" s="230"/>
      <c r="H197" s="230"/>
      <c r="I197" s="230"/>
      <c r="J197" s="230"/>
      <c r="K197" s="230"/>
      <c r="L197" s="230"/>
      <c r="M197" s="230"/>
      <c r="N197" s="230"/>
      <c r="O197" s="230"/>
      <c r="P197" s="230"/>
      <c r="Q197" s="230"/>
      <c r="R197" s="230"/>
      <c r="S197" s="230"/>
      <c r="T197" s="230"/>
      <c r="U197" s="230"/>
      <c r="V197" s="230"/>
      <c r="W197" s="230"/>
      <c r="X197" s="230"/>
      <c r="Y197" s="230"/>
      <c r="Z197" s="230"/>
    </row>
    <row r="198" spans="2:26">
      <c r="B198" s="230"/>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0"/>
      <c r="Z198" s="230"/>
    </row>
    <row r="199" spans="2:26">
      <c r="B199" s="230"/>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0"/>
      <c r="Z199" s="230"/>
    </row>
    <row r="200" spans="2:26">
      <c r="B200" s="230"/>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0"/>
      <c r="Z200" s="230"/>
    </row>
    <row r="201" spans="2:26">
      <c r="B201" s="230"/>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0"/>
      <c r="Z201" s="230"/>
    </row>
  </sheetData>
  <mergeCells count="4">
    <mergeCell ref="A35:C35"/>
    <mergeCell ref="A1:C2"/>
    <mergeCell ref="A3:C3"/>
    <mergeCell ref="A4:C4"/>
  </mergeCells>
  <printOptions horizontalCentered="1"/>
  <pageMargins left="0" right="0" top="0.5" bottom="0.5" header="0.3" footer="0.3"/>
  <pageSetup paperSize="9" scale="78"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K316"/>
  <sheetViews>
    <sheetView tabSelected="1" topLeftCell="A2" zoomScale="70" zoomScaleNormal="70" zoomScalePageLayoutView="55" workbookViewId="0">
      <selection activeCell="H9" sqref="H9:I10"/>
    </sheetView>
  </sheetViews>
  <sheetFormatPr defaultColWidth="9.140625" defaultRowHeight="18.75"/>
  <cols>
    <col min="1" max="1" width="5.140625" style="14" customWidth="1"/>
    <col min="2" max="2" width="34" style="10" customWidth="1"/>
    <col min="3" max="3" width="13" style="11" customWidth="1"/>
    <col min="4" max="5" width="10" style="11" customWidth="1"/>
    <col min="6" max="6" width="15.140625" style="11" customWidth="1"/>
    <col min="7" max="27" width="10" style="12" customWidth="1"/>
    <col min="28" max="16384" width="9.140625" style="4"/>
  </cols>
  <sheetData>
    <row r="1" spans="1:36" s="1" customFormat="1" ht="32.25" hidden="1" customHeight="1">
      <c r="A1" s="29"/>
      <c r="B1" s="3"/>
      <c r="C1" s="3"/>
      <c r="D1" s="3"/>
      <c r="E1" s="3"/>
      <c r="F1" s="3"/>
      <c r="G1" s="3"/>
      <c r="H1" s="2"/>
      <c r="I1" s="2"/>
      <c r="J1" s="2"/>
      <c r="K1" s="2"/>
      <c r="L1" s="2"/>
      <c r="M1" s="2"/>
      <c r="N1" s="2"/>
      <c r="O1" s="3"/>
      <c r="P1" s="30"/>
      <c r="Q1" s="3"/>
      <c r="R1" s="30"/>
      <c r="S1" s="30"/>
      <c r="T1" s="30"/>
      <c r="U1" s="30"/>
      <c r="V1" s="30"/>
      <c r="W1" s="30"/>
      <c r="X1" s="30"/>
      <c r="Y1" s="30"/>
      <c r="Z1" s="30"/>
      <c r="AA1" s="12" t="s">
        <v>27</v>
      </c>
    </row>
    <row r="2" spans="1:36" s="1" customFormat="1" ht="25.5">
      <c r="A2" s="538" t="s">
        <v>1365</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row>
    <row r="3" spans="1:36" ht="56.25" customHeight="1">
      <c r="A3" s="490" t="s">
        <v>119</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row>
    <row r="4" spans="1:36" ht="27" customHeight="1">
      <c r="A4" s="539" t="str">
        <f>'B.I THDP'!A3:K3</f>
        <v>(Kèm theo Công văn số 1080/UBND-KTTH ngày   08  tháng  8  năm 2024 của Ủy ban nhân dân tỉnh An Giang)</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row>
    <row r="5" spans="1:36" s="5" customFormat="1">
      <c r="A5" s="540" t="s">
        <v>1</v>
      </c>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40"/>
      <c r="AD5" s="540"/>
      <c r="AE5" s="540"/>
      <c r="AF5" s="540"/>
    </row>
    <row r="6" spans="1:36" s="7" customFormat="1" ht="34.5" customHeight="1">
      <c r="A6" s="521" t="s">
        <v>22</v>
      </c>
      <c r="B6" s="521" t="s">
        <v>10</v>
      </c>
      <c r="C6" s="526" t="s">
        <v>126</v>
      </c>
      <c r="D6" s="529" t="s">
        <v>127</v>
      </c>
      <c r="E6" s="529" t="s">
        <v>31</v>
      </c>
      <c r="F6" s="521" t="s">
        <v>128</v>
      </c>
      <c r="G6" s="521"/>
      <c r="H6" s="521"/>
      <c r="I6" s="521"/>
      <c r="J6" s="521"/>
      <c r="K6" s="532" t="s">
        <v>132</v>
      </c>
      <c r="L6" s="533"/>
      <c r="M6" s="533"/>
      <c r="N6" s="533"/>
      <c r="O6" s="533"/>
      <c r="P6" s="533"/>
      <c r="Q6" s="533"/>
      <c r="R6" s="533"/>
      <c r="S6" s="533"/>
      <c r="T6" s="533"/>
      <c r="U6" s="533"/>
      <c r="V6" s="534"/>
      <c r="W6" s="521" t="s">
        <v>136</v>
      </c>
      <c r="X6" s="521"/>
      <c r="Y6" s="521"/>
      <c r="Z6" s="521"/>
      <c r="AA6" s="521"/>
      <c r="AB6" s="521"/>
      <c r="AC6" s="521" t="s">
        <v>138</v>
      </c>
      <c r="AD6" s="521"/>
      <c r="AE6" s="521"/>
      <c r="AF6" s="521" t="s">
        <v>33</v>
      </c>
    </row>
    <row r="7" spans="1:36" s="7" customFormat="1" ht="45.75" customHeight="1">
      <c r="A7" s="521"/>
      <c r="B7" s="521"/>
      <c r="C7" s="527"/>
      <c r="D7" s="530"/>
      <c r="E7" s="530"/>
      <c r="F7" s="521"/>
      <c r="G7" s="521"/>
      <c r="H7" s="521"/>
      <c r="I7" s="521"/>
      <c r="J7" s="521"/>
      <c r="K7" s="535"/>
      <c r="L7" s="536"/>
      <c r="M7" s="536"/>
      <c r="N7" s="536"/>
      <c r="O7" s="536"/>
      <c r="P7" s="536"/>
      <c r="Q7" s="536"/>
      <c r="R7" s="536"/>
      <c r="S7" s="536"/>
      <c r="T7" s="536"/>
      <c r="U7" s="536"/>
      <c r="V7" s="537"/>
      <c r="W7" s="521" t="s">
        <v>164</v>
      </c>
      <c r="X7" s="521"/>
      <c r="Y7" s="521"/>
      <c r="Z7" s="521" t="s">
        <v>137</v>
      </c>
      <c r="AA7" s="521"/>
      <c r="AB7" s="521"/>
      <c r="AC7" s="521"/>
      <c r="AD7" s="521"/>
      <c r="AE7" s="521"/>
      <c r="AF7" s="521"/>
    </row>
    <row r="8" spans="1:36" s="7" customFormat="1" ht="95.25" customHeight="1">
      <c r="A8" s="521"/>
      <c r="B8" s="521"/>
      <c r="C8" s="527"/>
      <c r="D8" s="530"/>
      <c r="E8" s="530"/>
      <c r="F8" s="521" t="s">
        <v>129</v>
      </c>
      <c r="G8" s="521" t="s">
        <v>122</v>
      </c>
      <c r="H8" s="521"/>
      <c r="I8" s="521"/>
      <c r="J8" s="521"/>
      <c r="K8" s="521" t="s">
        <v>133</v>
      </c>
      <c r="L8" s="521"/>
      <c r="M8" s="521"/>
      <c r="N8" s="521" t="s">
        <v>160</v>
      </c>
      <c r="O8" s="521"/>
      <c r="P8" s="521"/>
      <c r="Q8" s="521" t="s">
        <v>134</v>
      </c>
      <c r="R8" s="521"/>
      <c r="S8" s="521"/>
      <c r="T8" s="521" t="s">
        <v>135</v>
      </c>
      <c r="U8" s="521"/>
      <c r="V8" s="521"/>
      <c r="W8" s="521" t="s">
        <v>139</v>
      </c>
      <c r="X8" s="521"/>
      <c r="Y8" s="521"/>
      <c r="Z8" s="521" t="s">
        <v>139</v>
      </c>
      <c r="AA8" s="521"/>
      <c r="AB8" s="521"/>
      <c r="AC8" s="521" t="s">
        <v>139</v>
      </c>
      <c r="AD8" s="521"/>
      <c r="AE8" s="521"/>
      <c r="AF8" s="521"/>
    </row>
    <row r="9" spans="1:36" s="7" customFormat="1" ht="42.75" customHeight="1">
      <c r="A9" s="521"/>
      <c r="B9" s="521"/>
      <c r="C9" s="527"/>
      <c r="D9" s="530"/>
      <c r="E9" s="530"/>
      <c r="F9" s="521"/>
      <c r="G9" s="521" t="s">
        <v>123</v>
      </c>
      <c r="H9" s="522" t="s">
        <v>130</v>
      </c>
      <c r="I9" s="523"/>
      <c r="J9" s="521" t="s">
        <v>131</v>
      </c>
      <c r="K9" s="521" t="s">
        <v>123</v>
      </c>
      <c r="L9" s="522" t="s">
        <v>130</v>
      </c>
      <c r="M9" s="523"/>
      <c r="N9" s="521" t="s">
        <v>123</v>
      </c>
      <c r="O9" s="522" t="s">
        <v>130</v>
      </c>
      <c r="P9" s="523"/>
      <c r="Q9" s="521" t="s">
        <v>123</v>
      </c>
      <c r="R9" s="522" t="s">
        <v>130</v>
      </c>
      <c r="S9" s="523"/>
      <c r="T9" s="521" t="s">
        <v>123</v>
      </c>
      <c r="U9" s="522" t="s">
        <v>130</v>
      </c>
      <c r="V9" s="523"/>
      <c r="W9" s="521" t="s">
        <v>140</v>
      </c>
      <c r="X9" s="521" t="s">
        <v>125</v>
      </c>
      <c r="Y9" s="521" t="s">
        <v>124</v>
      </c>
      <c r="Z9" s="521" t="s">
        <v>140</v>
      </c>
      <c r="AA9" s="521" t="s">
        <v>125</v>
      </c>
      <c r="AB9" s="521" t="s">
        <v>124</v>
      </c>
      <c r="AC9" s="521" t="s">
        <v>140</v>
      </c>
      <c r="AD9" s="521" t="s">
        <v>125</v>
      </c>
      <c r="AE9" s="521" t="s">
        <v>124</v>
      </c>
      <c r="AF9" s="521"/>
    </row>
    <row r="10" spans="1:36" s="7" customFormat="1" ht="20.25" customHeight="1">
      <c r="A10" s="521"/>
      <c r="B10" s="521"/>
      <c r="C10" s="527"/>
      <c r="D10" s="530"/>
      <c r="E10" s="530"/>
      <c r="F10" s="521"/>
      <c r="G10" s="521"/>
      <c r="H10" s="524"/>
      <c r="I10" s="525"/>
      <c r="J10" s="521"/>
      <c r="K10" s="521"/>
      <c r="L10" s="524"/>
      <c r="M10" s="525"/>
      <c r="N10" s="521"/>
      <c r="O10" s="524"/>
      <c r="P10" s="525"/>
      <c r="Q10" s="521"/>
      <c r="R10" s="524"/>
      <c r="S10" s="525"/>
      <c r="T10" s="521"/>
      <c r="U10" s="524"/>
      <c r="V10" s="525"/>
      <c r="W10" s="521"/>
      <c r="X10" s="521"/>
      <c r="Y10" s="521"/>
      <c r="Z10" s="521"/>
      <c r="AA10" s="521"/>
      <c r="AB10" s="521"/>
      <c r="AC10" s="521"/>
      <c r="AD10" s="521"/>
      <c r="AE10" s="521"/>
      <c r="AF10" s="521"/>
    </row>
    <row r="11" spans="1:36" s="7" customFormat="1" ht="35.25" customHeight="1">
      <c r="A11" s="521"/>
      <c r="B11" s="521"/>
      <c r="C11" s="528"/>
      <c r="D11" s="531"/>
      <c r="E11" s="531"/>
      <c r="F11" s="521"/>
      <c r="G11" s="521"/>
      <c r="H11" s="77" t="s">
        <v>125</v>
      </c>
      <c r="I11" s="77" t="s">
        <v>124</v>
      </c>
      <c r="J11" s="521"/>
      <c r="K11" s="521"/>
      <c r="L11" s="77" t="s">
        <v>125</v>
      </c>
      <c r="M11" s="77" t="s">
        <v>124</v>
      </c>
      <c r="N11" s="521"/>
      <c r="O11" s="77" t="s">
        <v>125</v>
      </c>
      <c r="P11" s="77" t="s">
        <v>124</v>
      </c>
      <c r="Q11" s="521"/>
      <c r="R11" s="77" t="s">
        <v>125</v>
      </c>
      <c r="S11" s="77" t="s">
        <v>124</v>
      </c>
      <c r="T11" s="521"/>
      <c r="U11" s="77" t="s">
        <v>125</v>
      </c>
      <c r="V11" s="77" t="s">
        <v>124</v>
      </c>
      <c r="W11" s="521"/>
      <c r="X11" s="521"/>
      <c r="Y11" s="521"/>
      <c r="Z11" s="521"/>
      <c r="AA11" s="521"/>
      <c r="AB11" s="521"/>
      <c r="AC11" s="521"/>
      <c r="AD11" s="521"/>
      <c r="AE11" s="521"/>
      <c r="AF11" s="521"/>
    </row>
    <row r="12" spans="1:36" s="9" customFormat="1" ht="30.75" customHeight="1">
      <c r="A12" s="17">
        <v>1</v>
      </c>
      <c r="B12" s="8">
        <v>2</v>
      </c>
      <c r="C12" s="17">
        <v>3</v>
      </c>
      <c r="D12" s="17">
        <v>4</v>
      </c>
      <c r="E12" s="8">
        <v>5</v>
      </c>
      <c r="F12" s="17">
        <v>6</v>
      </c>
      <c r="G12" s="17">
        <v>7</v>
      </c>
      <c r="H12" s="8">
        <v>8</v>
      </c>
      <c r="I12" s="17">
        <v>9</v>
      </c>
      <c r="J12" s="17">
        <v>10</v>
      </c>
      <c r="K12" s="8">
        <v>11</v>
      </c>
      <c r="L12" s="17">
        <v>12</v>
      </c>
      <c r="M12" s="17">
        <v>13</v>
      </c>
      <c r="N12" s="8">
        <v>14</v>
      </c>
      <c r="O12" s="17">
        <v>15</v>
      </c>
      <c r="P12" s="17">
        <v>16</v>
      </c>
      <c r="Q12" s="17">
        <v>15</v>
      </c>
      <c r="R12" s="17">
        <v>16</v>
      </c>
      <c r="S12" s="8">
        <v>17</v>
      </c>
      <c r="T12" s="17">
        <v>18</v>
      </c>
      <c r="U12" s="17">
        <v>19</v>
      </c>
      <c r="V12" s="8">
        <v>20</v>
      </c>
      <c r="W12" s="17">
        <v>21</v>
      </c>
      <c r="X12" s="17">
        <v>22</v>
      </c>
      <c r="Y12" s="8">
        <v>23</v>
      </c>
      <c r="Z12" s="17">
        <v>24</v>
      </c>
      <c r="AA12" s="17">
        <v>25</v>
      </c>
      <c r="AB12" s="6">
        <v>26</v>
      </c>
      <c r="AC12" s="6">
        <v>27</v>
      </c>
      <c r="AD12" s="6">
        <v>28</v>
      </c>
      <c r="AE12" s="6">
        <v>29</v>
      </c>
      <c r="AF12" s="6">
        <v>30</v>
      </c>
    </row>
    <row r="13" spans="1:36" s="9" customFormat="1">
      <c r="A13" s="39"/>
      <c r="B13" s="40" t="s">
        <v>4</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71"/>
      <c r="AC13" s="71"/>
      <c r="AD13" s="71"/>
      <c r="AE13" s="71"/>
      <c r="AF13" s="71"/>
    </row>
    <row r="14" spans="1:36" s="2" customFormat="1" ht="56.25">
      <c r="A14" s="50" t="s">
        <v>38</v>
      </c>
      <c r="B14" s="51" t="s">
        <v>830</v>
      </c>
      <c r="C14" s="52"/>
      <c r="D14" s="52"/>
      <c r="E14" s="52"/>
      <c r="F14" s="52"/>
      <c r="G14" s="130">
        <f>G15+G48</f>
        <v>406137</v>
      </c>
      <c r="H14" s="130">
        <f t="shared" ref="H14:AE14" si="0">H15+H48</f>
        <v>89144</v>
      </c>
      <c r="I14" s="130">
        <f t="shared" si="0"/>
        <v>8915</v>
      </c>
      <c r="J14" s="130">
        <f t="shared" si="0"/>
        <v>0</v>
      </c>
      <c r="K14" s="130">
        <f t="shared" si="0"/>
        <v>216848.1</v>
      </c>
      <c r="L14" s="130">
        <f t="shared" si="0"/>
        <v>197135.36363636365</v>
      </c>
      <c r="M14" s="130">
        <f t="shared" si="0"/>
        <v>19712.736363636366</v>
      </c>
      <c r="N14" s="130">
        <f t="shared" si="0"/>
        <v>187628.70600000001</v>
      </c>
      <c r="O14" s="130">
        <f t="shared" si="0"/>
        <v>174477.52418181818</v>
      </c>
      <c r="P14" s="130">
        <f t="shared" si="0"/>
        <v>13151.181818181818</v>
      </c>
      <c r="Q14" s="130">
        <f t="shared" si="0"/>
        <v>29218.959999999999</v>
      </c>
      <c r="R14" s="130">
        <f t="shared" si="0"/>
        <v>22656.86</v>
      </c>
      <c r="S14" s="130">
        <f t="shared" si="0"/>
        <v>6562.1</v>
      </c>
      <c r="T14" s="130">
        <f t="shared" si="0"/>
        <v>12226.4</v>
      </c>
      <c r="U14" s="130">
        <f t="shared" si="0"/>
        <v>11246</v>
      </c>
      <c r="V14" s="130">
        <f t="shared" si="0"/>
        <v>980</v>
      </c>
      <c r="W14" s="130">
        <f t="shared" si="0"/>
        <v>104849</v>
      </c>
      <c r="X14" s="130">
        <f t="shared" si="0"/>
        <v>95317</v>
      </c>
      <c r="Y14" s="130">
        <f t="shared" si="0"/>
        <v>9532</v>
      </c>
      <c r="Z14" s="130">
        <f t="shared" si="0"/>
        <v>46148.6</v>
      </c>
      <c r="AA14" s="130">
        <f t="shared" si="0"/>
        <v>44189.599999999999</v>
      </c>
      <c r="AB14" s="130">
        <f t="shared" si="0"/>
        <v>1959</v>
      </c>
      <c r="AC14" s="130">
        <f t="shared" si="0"/>
        <v>41896</v>
      </c>
      <c r="AD14" s="130">
        <f t="shared" si="0"/>
        <v>38086</v>
      </c>
      <c r="AE14" s="130">
        <f t="shared" si="0"/>
        <v>3810</v>
      </c>
      <c r="AF14" s="72"/>
    </row>
    <row r="15" spans="1:36" ht="73.5" customHeight="1">
      <c r="A15" s="50" t="s">
        <v>37</v>
      </c>
      <c r="B15" s="51" t="s">
        <v>831</v>
      </c>
      <c r="C15" s="52"/>
      <c r="D15" s="52"/>
      <c r="E15" s="52"/>
      <c r="F15" s="52"/>
      <c r="G15" s="130">
        <f>G16+G41</f>
        <v>308078</v>
      </c>
      <c r="H15" s="130">
        <f t="shared" ref="H15:AE15" si="1">H16+H41</f>
        <v>0</v>
      </c>
      <c r="I15" s="130">
        <f t="shared" si="1"/>
        <v>0</v>
      </c>
      <c r="J15" s="130">
        <f t="shared" si="1"/>
        <v>0</v>
      </c>
      <c r="K15" s="130">
        <f t="shared" si="1"/>
        <v>166895</v>
      </c>
      <c r="L15" s="130">
        <f t="shared" si="1"/>
        <v>151723.36363636365</v>
      </c>
      <c r="M15" s="130">
        <f t="shared" si="1"/>
        <v>15171.636363636364</v>
      </c>
      <c r="N15" s="130">
        <f t="shared" si="1"/>
        <v>151816.70600000001</v>
      </c>
      <c r="O15" s="130">
        <f t="shared" si="1"/>
        <v>140321.52418181818</v>
      </c>
      <c r="P15" s="130">
        <f t="shared" si="1"/>
        <v>11495.181818181818</v>
      </c>
      <c r="Q15" s="130">
        <f t="shared" si="1"/>
        <v>15077.66</v>
      </c>
      <c r="R15" s="130">
        <f t="shared" si="1"/>
        <v>11400.66</v>
      </c>
      <c r="S15" s="130">
        <f t="shared" si="1"/>
        <v>3677</v>
      </c>
      <c r="T15" s="130">
        <f t="shared" si="1"/>
        <v>9213</v>
      </c>
      <c r="U15" s="130">
        <f t="shared" si="1"/>
        <v>8302</v>
      </c>
      <c r="V15" s="130">
        <f t="shared" si="1"/>
        <v>911</v>
      </c>
      <c r="W15" s="130">
        <f t="shared" si="1"/>
        <v>61767</v>
      </c>
      <c r="X15" s="130">
        <f t="shared" si="1"/>
        <v>56152</v>
      </c>
      <c r="Y15" s="130">
        <f t="shared" si="1"/>
        <v>5615</v>
      </c>
      <c r="Z15" s="130">
        <f t="shared" si="1"/>
        <v>40644</v>
      </c>
      <c r="AA15" s="130">
        <f t="shared" si="1"/>
        <v>38685</v>
      </c>
      <c r="AB15" s="130">
        <f t="shared" si="1"/>
        <v>1959</v>
      </c>
      <c r="AC15" s="130">
        <f t="shared" si="1"/>
        <v>36872</v>
      </c>
      <c r="AD15" s="130">
        <f t="shared" si="1"/>
        <v>33519</v>
      </c>
      <c r="AE15" s="130">
        <f t="shared" si="1"/>
        <v>3353</v>
      </c>
      <c r="AF15" s="72"/>
      <c r="AG15" s="4">
        <v>1959</v>
      </c>
      <c r="AH15" s="4">
        <v>42379</v>
      </c>
      <c r="AI15" s="4">
        <v>38525</v>
      </c>
      <c r="AJ15" s="4">
        <v>3854</v>
      </c>
    </row>
    <row r="16" spans="1:36" ht="72" customHeight="1">
      <c r="A16" s="50" t="s">
        <v>38</v>
      </c>
      <c r="B16" s="129" t="s">
        <v>832</v>
      </c>
      <c r="C16" s="52"/>
      <c r="D16" s="52"/>
      <c r="E16" s="52"/>
      <c r="F16" s="52"/>
      <c r="G16" s="130">
        <f>SUM(G17:G40)</f>
        <v>204910</v>
      </c>
      <c r="H16" s="130">
        <f t="shared" ref="H16:AE16" si="2">SUM(H17:H40)</f>
        <v>0</v>
      </c>
      <c r="I16" s="130">
        <f t="shared" si="2"/>
        <v>0</v>
      </c>
      <c r="J16" s="130">
        <f t="shared" si="2"/>
        <v>0</v>
      </c>
      <c r="K16" s="130">
        <f t="shared" si="2"/>
        <v>105327</v>
      </c>
      <c r="L16" s="130">
        <f t="shared" si="2"/>
        <v>95752.363636363632</v>
      </c>
      <c r="M16" s="130">
        <f t="shared" si="2"/>
        <v>9574.636363636364</v>
      </c>
      <c r="N16" s="130">
        <f t="shared" si="2"/>
        <v>103667</v>
      </c>
      <c r="O16" s="130">
        <f t="shared" si="2"/>
        <v>94879.818181818177</v>
      </c>
      <c r="P16" s="130">
        <f t="shared" si="2"/>
        <v>8787.181818181818</v>
      </c>
      <c r="Q16" s="130">
        <f t="shared" si="2"/>
        <v>1659.6599999999999</v>
      </c>
      <c r="R16" s="130">
        <f t="shared" si="2"/>
        <v>871.66</v>
      </c>
      <c r="S16" s="130">
        <f t="shared" si="2"/>
        <v>788</v>
      </c>
      <c r="T16" s="130">
        <f t="shared" si="2"/>
        <v>168</v>
      </c>
      <c r="U16" s="130">
        <f t="shared" si="2"/>
        <v>88</v>
      </c>
      <c r="V16" s="130">
        <f t="shared" si="2"/>
        <v>80</v>
      </c>
      <c r="W16" s="130">
        <f t="shared" si="2"/>
        <v>50767</v>
      </c>
      <c r="X16" s="130">
        <f t="shared" si="2"/>
        <v>46152</v>
      </c>
      <c r="Y16" s="130">
        <f t="shared" si="2"/>
        <v>4615</v>
      </c>
      <c r="Z16" s="130">
        <f t="shared" si="2"/>
        <v>34776</v>
      </c>
      <c r="AA16" s="130">
        <f t="shared" si="2"/>
        <v>33073</v>
      </c>
      <c r="AB16" s="130">
        <f t="shared" si="2"/>
        <v>1703</v>
      </c>
      <c r="AC16" s="130">
        <f t="shared" si="2"/>
        <v>21486</v>
      </c>
      <c r="AD16" s="130">
        <f t="shared" si="2"/>
        <v>19532</v>
      </c>
      <c r="AE16" s="130">
        <f t="shared" si="2"/>
        <v>1954</v>
      </c>
      <c r="AF16" s="72"/>
      <c r="AG16" s="4">
        <v>1703</v>
      </c>
      <c r="AH16" s="4">
        <v>26993</v>
      </c>
      <c r="AI16" s="4">
        <v>24538</v>
      </c>
      <c r="AJ16" s="4">
        <v>2455</v>
      </c>
    </row>
    <row r="17" spans="1:36" ht="75">
      <c r="A17" s="58" t="s">
        <v>13</v>
      </c>
      <c r="B17" s="49" t="s">
        <v>833</v>
      </c>
      <c r="C17" s="59" t="s">
        <v>834</v>
      </c>
      <c r="D17" s="59">
        <v>2078.84</v>
      </c>
      <c r="E17" s="59" t="s">
        <v>230</v>
      </c>
      <c r="F17" s="59" t="s">
        <v>835</v>
      </c>
      <c r="G17" s="131">
        <v>14631</v>
      </c>
      <c r="H17" s="131"/>
      <c r="I17" s="131"/>
      <c r="J17" s="131"/>
      <c r="K17" s="131">
        <v>6947</v>
      </c>
      <c r="L17" s="131">
        <v>6316</v>
      </c>
      <c r="M17" s="131">
        <v>631</v>
      </c>
      <c r="N17" s="131">
        <v>6947</v>
      </c>
      <c r="O17" s="131">
        <v>6316</v>
      </c>
      <c r="P17" s="131">
        <v>631</v>
      </c>
      <c r="Q17" s="131">
        <v>0</v>
      </c>
      <c r="R17" s="131"/>
      <c r="S17" s="131"/>
      <c r="T17" s="131">
        <v>0</v>
      </c>
      <c r="U17" s="131"/>
      <c r="V17" s="131"/>
      <c r="W17" s="131">
        <v>6473</v>
      </c>
      <c r="X17" s="131">
        <v>5885</v>
      </c>
      <c r="Y17" s="131">
        <v>588</v>
      </c>
      <c r="Z17" s="131">
        <v>6473</v>
      </c>
      <c r="AA17" s="131">
        <v>5885</v>
      </c>
      <c r="AB17" s="132">
        <v>588</v>
      </c>
      <c r="AC17" s="132">
        <v>0</v>
      </c>
      <c r="AD17" s="132"/>
      <c r="AE17" s="132"/>
      <c r="AF17" s="66"/>
      <c r="AG17" s="4">
        <v>588</v>
      </c>
      <c r="AH17" s="4">
        <v>0</v>
      </c>
    </row>
    <row r="18" spans="1:36" ht="93.75">
      <c r="A18" s="58">
        <v>2</v>
      </c>
      <c r="B18" s="47" t="s">
        <v>836</v>
      </c>
      <c r="C18" s="59" t="s">
        <v>837</v>
      </c>
      <c r="D18" s="59">
        <v>4400</v>
      </c>
      <c r="E18" s="59" t="s">
        <v>230</v>
      </c>
      <c r="F18" s="59" t="s">
        <v>838</v>
      </c>
      <c r="G18" s="131">
        <v>25189</v>
      </c>
      <c r="H18" s="131"/>
      <c r="I18" s="131"/>
      <c r="J18" s="131"/>
      <c r="K18" s="131">
        <v>12900</v>
      </c>
      <c r="L18" s="131">
        <v>11727</v>
      </c>
      <c r="M18" s="131">
        <v>1173</v>
      </c>
      <c r="N18" s="131">
        <v>12900</v>
      </c>
      <c r="O18" s="131">
        <v>11727</v>
      </c>
      <c r="P18" s="131">
        <v>1173</v>
      </c>
      <c r="Q18" s="131">
        <v>0</v>
      </c>
      <c r="R18" s="131"/>
      <c r="S18" s="131"/>
      <c r="T18" s="131">
        <v>0</v>
      </c>
      <c r="U18" s="131"/>
      <c r="V18" s="131"/>
      <c r="W18" s="131">
        <v>6373</v>
      </c>
      <c r="X18" s="131">
        <v>5794</v>
      </c>
      <c r="Y18" s="131">
        <v>579</v>
      </c>
      <c r="Z18" s="131">
        <v>1858</v>
      </c>
      <c r="AA18" s="131">
        <v>1858</v>
      </c>
      <c r="AB18" s="132">
        <v>0</v>
      </c>
      <c r="AC18" s="132"/>
      <c r="AD18" s="132"/>
      <c r="AE18" s="132"/>
      <c r="AF18" s="66"/>
      <c r="AG18" s="4">
        <v>0</v>
      </c>
    </row>
    <row r="19" spans="1:36" ht="93.75">
      <c r="A19" s="58">
        <v>3</v>
      </c>
      <c r="B19" s="47" t="s">
        <v>839</v>
      </c>
      <c r="C19" s="59" t="s">
        <v>840</v>
      </c>
      <c r="D19" s="59">
        <v>787.3</v>
      </c>
      <c r="E19" s="59" t="s">
        <v>312</v>
      </c>
      <c r="F19" s="59" t="s">
        <v>841</v>
      </c>
      <c r="G19" s="131">
        <v>4617</v>
      </c>
      <c r="H19" s="131"/>
      <c r="I19" s="131"/>
      <c r="J19" s="131"/>
      <c r="K19" s="131">
        <v>0</v>
      </c>
      <c r="L19" s="131"/>
      <c r="M19" s="131"/>
      <c r="N19" s="131"/>
      <c r="O19" s="131"/>
      <c r="P19" s="131"/>
      <c r="Q19" s="131">
        <v>0</v>
      </c>
      <c r="R19" s="131"/>
      <c r="S19" s="131"/>
      <c r="T19" s="131">
        <v>0</v>
      </c>
      <c r="U19" s="131"/>
      <c r="V19" s="131"/>
      <c r="W19" s="131">
        <v>3937</v>
      </c>
      <c r="X19" s="131">
        <v>3579</v>
      </c>
      <c r="Y19" s="131">
        <v>358</v>
      </c>
      <c r="Z19" s="131">
        <v>2803</v>
      </c>
      <c r="AA19" s="131">
        <v>2551</v>
      </c>
      <c r="AB19" s="132">
        <v>252</v>
      </c>
      <c r="AC19" s="132">
        <v>0</v>
      </c>
      <c r="AD19" s="132"/>
      <c r="AE19" s="132"/>
      <c r="AF19" s="66"/>
      <c r="AG19" s="4">
        <v>252</v>
      </c>
      <c r="AH19" s="4">
        <v>0</v>
      </c>
    </row>
    <row r="20" spans="1:36" ht="93.75">
      <c r="A20" s="58">
        <v>4</v>
      </c>
      <c r="B20" s="47" t="s">
        <v>842</v>
      </c>
      <c r="C20" s="59" t="s">
        <v>843</v>
      </c>
      <c r="D20" s="59">
        <v>960</v>
      </c>
      <c r="E20" s="59" t="s">
        <v>312</v>
      </c>
      <c r="F20" s="59" t="s">
        <v>844</v>
      </c>
      <c r="G20" s="131">
        <v>2778</v>
      </c>
      <c r="H20" s="131"/>
      <c r="I20" s="131"/>
      <c r="J20" s="131"/>
      <c r="K20" s="131">
        <v>0</v>
      </c>
      <c r="L20" s="131"/>
      <c r="M20" s="131"/>
      <c r="N20" s="131"/>
      <c r="O20" s="131"/>
      <c r="P20" s="131"/>
      <c r="Q20" s="131">
        <v>0</v>
      </c>
      <c r="R20" s="131"/>
      <c r="S20" s="131"/>
      <c r="T20" s="131">
        <v>0</v>
      </c>
      <c r="U20" s="131"/>
      <c r="V20" s="131"/>
      <c r="W20" s="131">
        <v>2443</v>
      </c>
      <c r="X20" s="131">
        <v>2221</v>
      </c>
      <c r="Y20" s="131">
        <v>222</v>
      </c>
      <c r="Z20" s="131">
        <v>777</v>
      </c>
      <c r="AA20" s="131">
        <v>777</v>
      </c>
      <c r="AB20" s="132">
        <v>0</v>
      </c>
      <c r="AC20" s="132">
        <v>0</v>
      </c>
      <c r="AD20" s="132"/>
      <c r="AE20" s="132"/>
      <c r="AF20" s="66"/>
      <c r="AG20" s="4">
        <v>0</v>
      </c>
      <c r="AH20" s="4">
        <v>0</v>
      </c>
    </row>
    <row r="21" spans="1:36" ht="93.75">
      <c r="A21" s="58">
        <v>5</v>
      </c>
      <c r="B21" s="47" t="s">
        <v>845</v>
      </c>
      <c r="C21" s="59" t="s">
        <v>846</v>
      </c>
      <c r="D21" s="59">
        <v>3600</v>
      </c>
      <c r="E21" s="59" t="s">
        <v>230</v>
      </c>
      <c r="F21" s="59" t="s">
        <v>847</v>
      </c>
      <c r="G21" s="131">
        <v>12540</v>
      </c>
      <c r="H21" s="131"/>
      <c r="I21" s="131"/>
      <c r="J21" s="131"/>
      <c r="K21" s="131">
        <v>2686</v>
      </c>
      <c r="L21" s="131">
        <v>2442</v>
      </c>
      <c r="M21" s="131">
        <v>244</v>
      </c>
      <c r="N21" s="131">
        <v>2685.9999999999995</v>
      </c>
      <c r="O21" s="131">
        <v>2441.8181818181815</v>
      </c>
      <c r="P21" s="131">
        <v>244.18181818181816</v>
      </c>
      <c r="Q21" s="131">
        <v>0</v>
      </c>
      <c r="R21" s="131"/>
      <c r="S21" s="131"/>
      <c r="T21" s="131">
        <v>0</v>
      </c>
      <c r="U21" s="131"/>
      <c r="V21" s="131"/>
      <c r="W21" s="131">
        <v>7359</v>
      </c>
      <c r="X21" s="131">
        <v>6690</v>
      </c>
      <c r="Y21" s="131">
        <v>669</v>
      </c>
      <c r="Z21" s="131">
        <v>7047</v>
      </c>
      <c r="AA21" s="131">
        <v>6690</v>
      </c>
      <c r="AB21" s="132">
        <v>357</v>
      </c>
      <c r="AC21" s="132">
        <v>0</v>
      </c>
      <c r="AD21" s="132"/>
      <c r="AE21" s="132"/>
      <c r="AF21" s="66"/>
      <c r="AG21" s="4">
        <v>357</v>
      </c>
      <c r="AH21" s="4">
        <v>0</v>
      </c>
    </row>
    <row r="22" spans="1:36" ht="93.75">
      <c r="A22" s="58">
        <v>6</v>
      </c>
      <c r="B22" s="47" t="s">
        <v>848</v>
      </c>
      <c r="C22" s="59" t="s">
        <v>849</v>
      </c>
      <c r="D22" s="59">
        <v>4970</v>
      </c>
      <c r="E22" s="59" t="s">
        <v>230</v>
      </c>
      <c r="F22" s="59" t="s">
        <v>850</v>
      </c>
      <c r="G22" s="131">
        <v>25165</v>
      </c>
      <c r="H22" s="131"/>
      <c r="I22" s="131"/>
      <c r="J22" s="131"/>
      <c r="K22" s="131">
        <v>11940</v>
      </c>
      <c r="L22" s="131">
        <v>10855</v>
      </c>
      <c r="M22" s="131">
        <v>1085</v>
      </c>
      <c r="N22" s="131">
        <v>11940</v>
      </c>
      <c r="O22" s="131">
        <v>10855</v>
      </c>
      <c r="P22" s="131">
        <v>1085</v>
      </c>
      <c r="Q22" s="131">
        <v>0</v>
      </c>
      <c r="R22" s="131"/>
      <c r="S22" s="131"/>
      <c r="T22" s="131">
        <v>0</v>
      </c>
      <c r="U22" s="131"/>
      <c r="V22" s="131"/>
      <c r="W22" s="131">
        <v>6824</v>
      </c>
      <c r="X22" s="131">
        <v>6204</v>
      </c>
      <c r="Y22" s="131">
        <v>620</v>
      </c>
      <c r="Z22" s="131">
        <v>2881</v>
      </c>
      <c r="AA22" s="131">
        <v>2881</v>
      </c>
      <c r="AB22" s="132">
        <v>0</v>
      </c>
      <c r="AC22" s="132"/>
      <c r="AD22" s="132"/>
      <c r="AE22" s="132"/>
      <c r="AF22" s="66"/>
      <c r="AG22" s="4">
        <v>0</v>
      </c>
    </row>
    <row r="23" spans="1:36" ht="93.75">
      <c r="A23" s="58">
        <v>7</v>
      </c>
      <c r="B23" s="47" t="s">
        <v>851</v>
      </c>
      <c r="C23" s="59" t="s">
        <v>852</v>
      </c>
      <c r="D23" s="59">
        <v>2252.5</v>
      </c>
      <c r="E23" s="59" t="s">
        <v>230</v>
      </c>
      <c r="F23" s="59" t="s">
        <v>853</v>
      </c>
      <c r="G23" s="131">
        <v>12699</v>
      </c>
      <c r="H23" s="131"/>
      <c r="I23" s="131"/>
      <c r="J23" s="131"/>
      <c r="K23" s="131">
        <v>7414</v>
      </c>
      <c r="L23" s="131">
        <v>6740</v>
      </c>
      <c r="M23" s="131">
        <v>674</v>
      </c>
      <c r="N23" s="131">
        <v>7414</v>
      </c>
      <c r="O23" s="131">
        <v>6740</v>
      </c>
      <c r="P23" s="131">
        <v>674</v>
      </c>
      <c r="Q23" s="131">
        <v>0</v>
      </c>
      <c r="R23" s="131"/>
      <c r="S23" s="131"/>
      <c r="T23" s="131">
        <v>0</v>
      </c>
      <c r="U23" s="131"/>
      <c r="V23" s="131"/>
      <c r="W23" s="131">
        <v>4212</v>
      </c>
      <c r="X23" s="131">
        <v>3829</v>
      </c>
      <c r="Y23" s="131">
        <v>383</v>
      </c>
      <c r="Z23" s="131">
        <v>4139</v>
      </c>
      <c r="AA23" s="131">
        <v>3829</v>
      </c>
      <c r="AB23" s="132">
        <v>310</v>
      </c>
      <c r="AC23" s="132">
        <v>0</v>
      </c>
      <c r="AD23" s="132"/>
      <c r="AE23" s="132"/>
      <c r="AF23" s="66"/>
      <c r="AG23" s="4">
        <v>310</v>
      </c>
      <c r="AH23" s="4">
        <v>0</v>
      </c>
    </row>
    <row r="24" spans="1:36" ht="93.75">
      <c r="A24" s="58">
        <v>8</v>
      </c>
      <c r="B24" s="47" t="s">
        <v>854</v>
      </c>
      <c r="C24" s="59" t="s">
        <v>855</v>
      </c>
      <c r="D24" s="59">
        <v>2134.5</v>
      </c>
      <c r="E24" s="59" t="s">
        <v>312</v>
      </c>
      <c r="F24" s="59" t="s">
        <v>856</v>
      </c>
      <c r="G24" s="131">
        <v>3638</v>
      </c>
      <c r="H24" s="131"/>
      <c r="I24" s="131"/>
      <c r="J24" s="131"/>
      <c r="K24" s="131">
        <v>0</v>
      </c>
      <c r="L24" s="131"/>
      <c r="M24" s="131"/>
      <c r="N24" s="131"/>
      <c r="O24" s="131"/>
      <c r="P24" s="131"/>
      <c r="Q24" s="131">
        <v>0</v>
      </c>
      <c r="R24" s="131"/>
      <c r="S24" s="131"/>
      <c r="T24" s="131">
        <v>0</v>
      </c>
      <c r="U24" s="131"/>
      <c r="V24" s="131"/>
      <c r="W24" s="131">
        <v>150</v>
      </c>
      <c r="X24" s="131">
        <v>136</v>
      </c>
      <c r="Y24" s="131">
        <v>14</v>
      </c>
      <c r="Z24" s="131">
        <v>150</v>
      </c>
      <c r="AA24" s="131">
        <v>136</v>
      </c>
      <c r="AB24" s="132">
        <v>14</v>
      </c>
      <c r="AC24" s="132">
        <v>3315</v>
      </c>
      <c r="AD24" s="132">
        <v>3014</v>
      </c>
      <c r="AE24" s="132">
        <v>301</v>
      </c>
      <c r="AF24" s="66"/>
      <c r="AG24" s="4">
        <v>14</v>
      </c>
      <c r="AH24" s="4">
        <v>3315</v>
      </c>
      <c r="AI24" s="4">
        <v>3014</v>
      </c>
      <c r="AJ24" s="4">
        <v>301</v>
      </c>
    </row>
    <row r="25" spans="1:36" ht="93.75">
      <c r="A25" s="58">
        <v>9</v>
      </c>
      <c r="B25" s="47" t="s">
        <v>857</v>
      </c>
      <c r="C25" s="59" t="s">
        <v>858</v>
      </c>
      <c r="D25" s="59">
        <v>1540.5</v>
      </c>
      <c r="E25" s="59" t="s">
        <v>312</v>
      </c>
      <c r="F25" s="59" t="s">
        <v>859</v>
      </c>
      <c r="G25" s="131">
        <v>3638</v>
      </c>
      <c r="H25" s="131"/>
      <c r="I25" s="131"/>
      <c r="J25" s="131"/>
      <c r="K25" s="131">
        <v>0</v>
      </c>
      <c r="L25" s="131"/>
      <c r="M25" s="131"/>
      <c r="N25" s="131"/>
      <c r="O25" s="131"/>
      <c r="P25" s="131"/>
      <c r="Q25" s="131">
        <v>0</v>
      </c>
      <c r="R25" s="131"/>
      <c r="S25" s="131"/>
      <c r="T25" s="131">
        <v>0</v>
      </c>
      <c r="U25" s="131"/>
      <c r="V25" s="131"/>
      <c r="W25" s="131">
        <v>3358</v>
      </c>
      <c r="X25" s="131">
        <v>3053</v>
      </c>
      <c r="Y25" s="131">
        <v>305</v>
      </c>
      <c r="Z25" s="131">
        <v>2337</v>
      </c>
      <c r="AA25" s="131">
        <v>2201</v>
      </c>
      <c r="AB25" s="132">
        <v>136</v>
      </c>
      <c r="AC25" s="132">
        <v>0</v>
      </c>
      <c r="AD25" s="132"/>
      <c r="AE25" s="132"/>
      <c r="AF25" s="66"/>
      <c r="AG25" s="4">
        <v>136</v>
      </c>
      <c r="AH25" s="4">
        <v>0</v>
      </c>
    </row>
    <row r="26" spans="1:36" ht="93.75">
      <c r="A26" s="58">
        <v>10</v>
      </c>
      <c r="B26" s="47" t="s">
        <v>860</v>
      </c>
      <c r="C26" s="59" t="s">
        <v>861</v>
      </c>
      <c r="D26" s="59">
        <v>2436</v>
      </c>
      <c r="E26" s="59" t="s">
        <v>230</v>
      </c>
      <c r="F26" s="59" t="s">
        <v>862</v>
      </c>
      <c r="G26" s="131">
        <v>14073</v>
      </c>
      <c r="H26" s="131"/>
      <c r="I26" s="131"/>
      <c r="J26" s="131"/>
      <c r="K26" s="131">
        <v>7467</v>
      </c>
      <c r="L26" s="131">
        <v>6788</v>
      </c>
      <c r="M26" s="131">
        <v>679</v>
      </c>
      <c r="N26" s="131">
        <v>7467</v>
      </c>
      <c r="O26" s="131">
        <v>6788</v>
      </c>
      <c r="P26" s="131">
        <v>679</v>
      </c>
      <c r="Q26" s="131">
        <v>0</v>
      </c>
      <c r="R26" s="131"/>
      <c r="S26" s="131"/>
      <c r="T26" s="131">
        <v>0</v>
      </c>
      <c r="U26" s="131"/>
      <c r="V26" s="131"/>
      <c r="W26" s="131">
        <v>4091</v>
      </c>
      <c r="X26" s="131">
        <v>3719</v>
      </c>
      <c r="Y26" s="131">
        <v>372</v>
      </c>
      <c r="Z26" s="131">
        <v>3443</v>
      </c>
      <c r="AA26" s="131">
        <v>3443</v>
      </c>
      <c r="AB26" s="132">
        <v>0</v>
      </c>
      <c r="AC26" s="132">
        <v>0</v>
      </c>
      <c r="AD26" s="132"/>
      <c r="AE26" s="132"/>
      <c r="AF26" s="66"/>
      <c r="AG26" s="4">
        <v>0</v>
      </c>
      <c r="AH26" s="4">
        <v>0</v>
      </c>
    </row>
    <row r="27" spans="1:36" ht="93.75">
      <c r="A27" s="58">
        <v>11</v>
      </c>
      <c r="B27" s="47" t="s">
        <v>863</v>
      </c>
      <c r="C27" s="59" t="s">
        <v>864</v>
      </c>
      <c r="D27" s="59">
        <v>4575.92</v>
      </c>
      <c r="E27" s="59" t="s">
        <v>230</v>
      </c>
      <c r="F27" s="59" t="s">
        <v>865</v>
      </c>
      <c r="G27" s="131">
        <v>8865</v>
      </c>
      <c r="H27" s="131"/>
      <c r="I27" s="131"/>
      <c r="J27" s="131"/>
      <c r="K27" s="131">
        <v>8066</v>
      </c>
      <c r="L27" s="131">
        <v>7333</v>
      </c>
      <c r="M27" s="131">
        <v>733</v>
      </c>
      <c r="N27" s="131">
        <v>8066</v>
      </c>
      <c r="O27" s="131">
        <v>7333</v>
      </c>
      <c r="P27" s="131">
        <v>733</v>
      </c>
      <c r="Q27" s="131">
        <v>0</v>
      </c>
      <c r="R27" s="131"/>
      <c r="S27" s="131"/>
      <c r="T27" s="131">
        <v>0</v>
      </c>
      <c r="U27" s="131"/>
      <c r="V27" s="131"/>
      <c r="W27" s="131">
        <v>124</v>
      </c>
      <c r="X27" s="131">
        <v>112</v>
      </c>
      <c r="Y27" s="131">
        <v>12</v>
      </c>
      <c r="Z27" s="131">
        <v>117</v>
      </c>
      <c r="AA27" s="131">
        <v>106</v>
      </c>
      <c r="AB27" s="132">
        <v>11</v>
      </c>
      <c r="AC27" s="132">
        <v>0</v>
      </c>
      <c r="AD27" s="132"/>
      <c r="AE27" s="132"/>
      <c r="AF27" s="66"/>
      <c r="AG27" s="4">
        <v>11</v>
      </c>
      <c r="AH27" s="4">
        <v>0</v>
      </c>
    </row>
    <row r="28" spans="1:36" ht="93.75">
      <c r="A28" s="58">
        <v>12</v>
      </c>
      <c r="B28" s="47" t="s">
        <v>866</v>
      </c>
      <c r="C28" s="59" t="s">
        <v>867</v>
      </c>
      <c r="D28" s="59">
        <v>5472</v>
      </c>
      <c r="E28" s="59" t="s">
        <v>230</v>
      </c>
      <c r="F28" s="59" t="s">
        <v>868</v>
      </c>
      <c r="G28" s="131">
        <v>10965</v>
      </c>
      <c r="H28" s="131"/>
      <c r="I28" s="131"/>
      <c r="J28" s="131"/>
      <c r="K28" s="131">
        <v>5451</v>
      </c>
      <c r="L28" s="131">
        <v>4955</v>
      </c>
      <c r="M28" s="131">
        <v>495.99999999999994</v>
      </c>
      <c r="N28" s="131">
        <v>5451</v>
      </c>
      <c r="O28" s="131">
        <v>4955</v>
      </c>
      <c r="P28" s="131">
        <v>496</v>
      </c>
      <c r="Q28" s="131">
        <v>0</v>
      </c>
      <c r="R28" s="131"/>
      <c r="S28" s="131"/>
      <c r="T28" s="131">
        <v>0</v>
      </c>
      <c r="U28" s="131"/>
      <c r="V28" s="131"/>
      <c r="W28" s="131">
        <v>4992</v>
      </c>
      <c r="X28" s="131">
        <v>4538</v>
      </c>
      <c r="Y28" s="131">
        <v>454</v>
      </c>
      <c r="Z28" s="131">
        <v>2360</v>
      </c>
      <c r="AA28" s="131">
        <v>2360</v>
      </c>
      <c r="AB28" s="132">
        <v>0</v>
      </c>
      <c r="AC28" s="132">
        <v>0</v>
      </c>
      <c r="AD28" s="132"/>
      <c r="AE28" s="132"/>
      <c r="AF28" s="66"/>
      <c r="AG28" s="4">
        <v>0</v>
      </c>
      <c r="AH28" s="4">
        <v>0</v>
      </c>
    </row>
    <row r="29" spans="1:36" ht="93.75">
      <c r="A29" s="58">
        <v>13</v>
      </c>
      <c r="B29" s="47" t="s">
        <v>869</v>
      </c>
      <c r="C29" s="59" t="s">
        <v>870</v>
      </c>
      <c r="D29" s="59">
        <v>1424</v>
      </c>
      <c r="E29" s="59" t="s">
        <v>312</v>
      </c>
      <c r="F29" s="59" t="s">
        <v>871</v>
      </c>
      <c r="G29" s="131">
        <v>5505</v>
      </c>
      <c r="H29" s="131"/>
      <c r="I29" s="131"/>
      <c r="J29" s="131"/>
      <c r="K29" s="131">
        <v>0</v>
      </c>
      <c r="L29" s="131"/>
      <c r="M29" s="131"/>
      <c r="N29" s="131"/>
      <c r="O29" s="131"/>
      <c r="P29" s="131"/>
      <c r="Q29" s="131">
        <v>0</v>
      </c>
      <c r="R29" s="131"/>
      <c r="S29" s="131"/>
      <c r="T29" s="131">
        <v>0</v>
      </c>
      <c r="U29" s="131"/>
      <c r="V29" s="131"/>
      <c r="W29" s="131">
        <v>200</v>
      </c>
      <c r="X29" s="131">
        <v>182</v>
      </c>
      <c r="Y29" s="131">
        <v>18</v>
      </c>
      <c r="Z29" s="131">
        <v>200</v>
      </c>
      <c r="AA29" s="131">
        <v>182</v>
      </c>
      <c r="AB29" s="132">
        <v>18</v>
      </c>
      <c r="AC29" s="132">
        <v>5043</v>
      </c>
      <c r="AD29" s="132">
        <v>4584</v>
      </c>
      <c r="AE29" s="132">
        <v>459</v>
      </c>
      <c r="AF29" s="66"/>
      <c r="AG29" s="4">
        <v>18</v>
      </c>
      <c r="AH29" s="4">
        <v>5043</v>
      </c>
      <c r="AI29" s="4">
        <v>4584</v>
      </c>
      <c r="AJ29" s="4">
        <v>459</v>
      </c>
    </row>
    <row r="30" spans="1:36" ht="93.75">
      <c r="A30" s="58">
        <v>14</v>
      </c>
      <c r="B30" s="47" t="s">
        <v>872</v>
      </c>
      <c r="C30" s="59" t="s">
        <v>873</v>
      </c>
      <c r="D30" s="59">
        <v>1786.8</v>
      </c>
      <c r="E30" s="59" t="s">
        <v>230</v>
      </c>
      <c r="F30" s="59" t="s">
        <v>874</v>
      </c>
      <c r="G30" s="131">
        <v>10395</v>
      </c>
      <c r="H30" s="131"/>
      <c r="I30" s="131"/>
      <c r="J30" s="131"/>
      <c r="K30" s="131">
        <v>9369</v>
      </c>
      <c r="L30" s="131">
        <v>8517</v>
      </c>
      <c r="M30" s="131">
        <v>852</v>
      </c>
      <c r="N30" s="131">
        <v>9363</v>
      </c>
      <c r="O30" s="131">
        <v>8517</v>
      </c>
      <c r="P30" s="131">
        <v>846</v>
      </c>
      <c r="Q30" s="131">
        <v>6</v>
      </c>
      <c r="R30" s="131"/>
      <c r="S30" s="131">
        <v>6</v>
      </c>
      <c r="T30" s="131">
        <v>0</v>
      </c>
      <c r="U30" s="131"/>
      <c r="V30" s="131"/>
      <c r="W30" s="131">
        <v>40</v>
      </c>
      <c r="X30" s="131">
        <v>36</v>
      </c>
      <c r="Y30" s="131">
        <v>4</v>
      </c>
      <c r="Z30" s="131">
        <v>0</v>
      </c>
      <c r="AA30" s="131">
        <v>0</v>
      </c>
      <c r="AB30" s="132">
        <v>0</v>
      </c>
      <c r="AC30" s="132">
        <v>0</v>
      </c>
      <c r="AD30" s="132"/>
      <c r="AE30" s="132"/>
      <c r="AF30" s="66"/>
      <c r="AG30" s="4">
        <v>0</v>
      </c>
      <c r="AH30" s="4">
        <v>0</v>
      </c>
    </row>
    <row r="31" spans="1:36" ht="112.5">
      <c r="A31" s="58">
        <v>15</v>
      </c>
      <c r="B31" s="47" t="s">
        <v>875</v>
      </c>
      <c r="C31" s="59" t="s">
        <v>876</v>
      </c>
      <c r="D31" s="59">
        <v>1620</v>
      </c>
      <c r="E31" s="59" t="s">
        <v>312</v>
      </c>
      <c r="F31" s="59" t="s">
        <v>877</v>
      </c>
      <c r="G31" s="131">
        <v>5983</v>
      </c>
      <c r="H31" s="131"/>
      <c r="I31" s="131"/>
      <c r="J31" s="131"/>
      <c r="K31" s="131">
        <v>0</v>
      </c>
      <c r="L31" s="131"/>
      <c r="M31" s="131"/>
      <c r="N31" s="131"/>
      <c r="O31" s="131"/>
      <c r="P31" s="131"/>
      <c r="Q31" s="131">
        <v>0</v>
      </c>
      <c r="R31" s="131"/>
      <c r="S31" s="131"/>
      <c r="T31" s="131">
        <v>0</v>
      </c>
      <c r="U31" s="131"/>
      <c r="V31" s="131"/>
      <c r="W31" s="131">
        <v>191</v>
      </c>
      <c r="X31" s="131">
        <v>174</v>
      </c>
      <c r="Y31" s="131">
        <v>17</v>
      </c>
      <c r="Z31" s="131">
        <v>191</v>
      </c>
      <c r="AA31" s="131">
        <v>174</v>
      </c>
      <c r="AB31" s="132">
        <v>17</v>
      </c>
      <c r="AC31" s="132">
        <v>5507</v>
      </c>
      <c r="AD31" s="132">
        <v>5006</v>
      </c>
      <c r="AE31" s="132">
        <v>501</v>
      </c>
      <c r="AF31" s="66"/>
      <c r="AG31" s="4">
        <v>17</v>
      </c>
      <c r="AH31" s="4">
        <v>5507</v>
      </c>
      <c r="AI31" s="4">
        <v>5006</v>
      </c>
      <c r="AJ31" s="4">
        <v>501</v>
      </c>
    </row>
    <row r="32" spans="1:36" ht="93.75">
      <c r="A32" s="58">
        <v>16</v>
      </c>
      <c r="B32" s="47" t="s">
        <v>878</v>
      </c>
      <c r="C32" s="59" t="s">
        <v>879</v>
      </c>
      <c r="D32" s="59">
        <v>2371.5</v>
      </c>
      <c r="E32" s="59" t="s">
        <v>230</v>
      </c>
      <c r="F32" s="59" t="s">
        <v>880</v>
      </c>
      <c r="G32" s="131">
        <v>8854</v>
      </c>
      <c r="H32" s="131"/>
      <c r="I32" s="131"/>
      <c r="J32" s="131"/>
      <c r="K32" s="131">
        <v>8360</v>
      </c>
      <c r="L32" s="131">
        <v>7600</v>
      </c>
      <c r="M32" s="131">
        <v>760</v>
      </c>
      <c r="N32" s="131">
        <v>8222</v>
      </c>
      <c r="O32" s="131">
        <v>7570</v>
      </c>
      <c r="P32" s="131">
        <v>652</v>
      </c>
      <c r="Q32" s="131">
        <v>138</v>
      </c>
      <c r="R32" s="131">
        <v>30</v>
      </c>
      <c r="S32" s="131">
        <v>108</v>
      </c>
      <c r="T32" s="131">
        <v>0</v>
      </c>
      <c r="U32" s="131"/>
      <c r="V32" s="131"/>
      <c r="W32" s="131">
        <v>0</v>
      </c>
      <c r="X32" s="131"/>
      <c r="Y32" s="131"/>
      <c r="Z32" s="131"/>
      <c r="AA32" s="131"/>
      <c r="AB32" s="132"/>
      <c r="AC32" s="132"/>
      <c r="AD32" s="132"/>
      <c r="AE32" s="132"/>
      <c r="AF32" s="66"/>
    </row>
    <row r="33" spans="1:37" ht="93.75">
      <c r="A33" s="58">
        <v>17</v>
      </c>
      <c r="B33" s="47" t="s">
        <v>881</v>
      </c>
      <c r="C33" s="59" t="s">
        <v>882</v>
      </c>
      <c r="D33" s="59">
        <v>1927</v>
      </c>
      <c r="E33" s="59" t="s">
        <v>230</v>
      </c>
      <c r="F33" s="59" t="s">
        <v>883</v>
      </c>
      <c r="G33" s="131">
        <v>4176</v>
      </c>
      <c r="H33" s="131"/>
      <c r="I33" s="131"/>
      <c r="J33" s="131"/>
      <c r="K33" s="131">
        <v>3745</v>
      </c>
      <c r="L33" s="131">
        <v>3404.363636363636</v>
      </c>
      <c r="M33" s="131">
        <v>340.63636363636363</v>
      </c>
      <c r="N33" s="131">
        <v>3516</v>
      </c>
      <c r="O33" s="131">
        <v>3316</v>
      </c>
      <c r="P33" s="131">
        <v>200</v>
      </c>
      <c r="Q33" s="131">
        <v>228.67700000000002</v>
      </c>
      <c r="R33" s="131">
        <v>87.677000000000007</v>
      </c>
      <c r="S33" s="131">
        <v>141</v>
      </c>
      <c r="T33" s="131">
        <v>0</v>
      </c>
      <c r="U33" s="131"/>
      <c r="V33" s="131"/>
      <c r="W33" s="131">
        <v>0</v>
      </c>
      <c r="X33" s="131"/>
      <c r="Y33" s="131"/>
      <c r="Z33" s="131"/>
      <c r="AA33" s="131"/>
      <c r="AB33" s="132"/>
      <c r="AC33" s="132"/>
      <c r="AD33" s="132"/>
      <c r="AE33" s="132"/>
      <c r="AF33" s="66"/>
    </row>
    <row r="34" spans="1:37" ht="56.25">
      <c r="A34" s="58">
        <v>18</v>
      </c>
      <c r="B34" s="47" t="s">
        <v>884</v>
      </c>
      <c r="C34" s="59" t="s">
        <v>885</v>
      </c>
      <c r="D34" s="59"/>
      <c r="E34" s="59"/>
      <c r="F34" s="59"/>
      <c r="G34" s="131">
        <v>8569</v>
      </c>
      <c r="H34" s="131"/>
      <c r="I34" s="131"/>
      <c r="J34" s="131"/>
      <c r="K34" s="131"/>
      <c r="L34" s="131"/>
      <c r="M34" s="131"/>
      <c r="N34" s="131"/>
      <c r="O34" s="131"/>
      <c r="P34" s="131"/>
      <c r="Q34" s="131">
        <v>0</v>
      </c>
      <c r="R34" s="131"/>
      <c r="S34" s="131"/>
      <c r="T34" s="131">
        <v>0</v>
      </c>
      <c r="U34" s="131"/>
      <c r="V34" s="131"/>
      <c r="W34" s="131">
        <v>0</v>
      </c>
      <c r="X34" s="131"/>
      <c r="Y34" s="131"/>
      <c r="Z34" s="131"/>
      <c r="AA34" s="131"/>
      <c r="AB34" s="132"/>
      <c r="AC34" s="132">
        <v>7621</v>
      </c>
      <c r="AD34" s="132">
        <v>6928</v>
      </c>
      <c r="AE34" s="132">
        <v>693</v>
      </c>
      <c r="AF34" s="59" t="s">
        <v>886</v>
      </c>
      <c r="AH34" s="4">
        <v>7621</v>
      </c>
      <c r="AI34" s="4">
        <v>6928</v>
      </c>
      <c r="AJ34" s="4">
        <v>693</v>
      </c>
      <c r="AK34" s="4" t="s">
        <v>886</v>
      </c>
    </row>
    <row r="35" spans="1:37" ht="93.75">
      <c r="A35" s="58">
        <v>19</v>
      </c>
      <c r="B35" s="47" t="s">
        <v>887</v>
      </c>
      <c r="C35" s="59" t="s">
        <v>888</v>
      </c>
      <c r="D35" s="59">
        <v>352.5</v>
      </c>
      <c r="E35" s="59" t="s">
        <v>230</v>
      </c>
      <c r="F35" s="59" t="s">
        <v>889</v>
      </c>
      <c r="G35" s="131">
        <v>2222</v>
      </c>
      <c r="H35" s="131"/>
      <c r="I35" s="131"/>
      <c r="J35" s="131"/>
      <c r="K35" s="131">
        <v>2821</v>
      </c>
      <c r="L35" s="131">
        <v>2565</v>
      </c>
      <c r="M35" s="131">
        <v>256</v>
      </c>
      <c r="N35" s="131">
        <v>1840</v>
      </c>
      <c r="O35" s="131">
        <v>1840</v>
      </c>
      <c r="P35" s="131">
        <v>0</v>
      </c>
      <c r="Q35" s="131">
        <v>981.495</v>
      </c>
      <c r="R35" s="131">
        <v>725.495</v>
      </c>
      <c r="S35" s="131">
        <v>256</v>
      </c>
      <c r="T35" s="131">
        <v>0</v>
      </c>
      <c r="U35" s="131"/>
      <c r="V35" s="131"/>
      <c r="W35" s="131">
        <v>0</v>
      </c>
      <c r="X35" s="131"/>
      <c r="Y35" s="131"/>
      <c r="Z35" s="131"/>
      <c r="AA35" s="131"/>
      <c r="AB35" s="132"/>
      <c r="AC35" s="132">
        <v>0</v>
      </c>
      <c r="AD35" s="132"/>
      <c r="AE35" s="132"/>
      <c r="AF35" s="66"/>
      <c r="AH35" s="4">
        <v>0</v>
      </c>
    </row>
    <row r="36" spans="1:37" ht="93.75">
      <c r="A36" s="58">
        <v>20</v>
      </c>
      <c r="B36" s="47" t="s">
        <v>890</v>
      </c>
      <c r="C36" s="59" t="s">
        <v>891</v>
      </c>
      <c r="D36" s="59">
        <v>506.7</v>
      </c>
      <c r="E36" s="59" t="s">
        <v>230</v>
      </c>
      <c r="F36" s="59" t="s">
        <v>892</v>
      </c>
      <c r="G36" s="131">
        <v>1602</v>
      </c>
      <c r="H36" s="131"/>
      <c r="I36" s="131"/>
      <c r="J36" s="131"/>
      <c r="K36" s="131">
        <v>1279</v>
      </c>
      <c r="L36" s="131">
        <v>1163</v>
      </c>
      <c r="M36" s="131">
        <v>116</v>
      </c>
      <c r="N36" s="131">
        <v>1210</v>
      </c>
      <c r="O36" s="131">
        <v>1162</v>
      </c>
      <c r="P36" s="131">
        <v>48</v>
      </c>
      <c r="Q36" s="131">
        <v>68.953999999999994</v>
      </c>
      <c r="R36" s="131">
        <v>0.95399999999999996</v>
      </c>
      <c r="S36" s="131">
        <v>68</v>
      </c>
      <c r="T36" s="131">
        <v>0</v>
      </c>
      <c r="U36" s="131"/>
      <c r="V36" s="131"/>
      <c r="W36" s="131">
        <v>0</v>
      </c>
      <c r="X36" s="131"/>
      <c r="Y36" s="131"/>
      <c r="Z36" s="131"/>
      <c r="AA36" s="131"/>
      <c r="AB36" s="132"/>
      <c r="AC36" s="132">
        <v>0</v>
      </c>
      <c r="AD36" s="132"/>
      <c r="AE36" s="132"/>
      <c r="AF36" s="66"/>
      <c r="AH36" s="4">
        <v>0</v>
      </c>
    </row>
    <row r="37" spans="1:37" ht="93.75">
      <c r="A37" s="58">
        <v>21</v>
      </c>
      <c r="B37" s="47" t="s">
        <v>893</v>
      </c>
      <c r="C37" s="59" t="s">
        <v>894</v>
      </c>
      <c r="D37" s="59" t="s">
        <v>895</v>
      </c>
      <c r="E37" s="59" t="s">
        <v>230</v>
      </c>
      <c r="F37" s="59" t="s">
        <v>896</v>
      </c>
      <c r="G37" s="131">
        <v>5238</v>
      </c>
      <c r="H37" s="131"/>
      <c r="I37" s="131"/>
      <c r="J37" s="131"/>
      <c r="K37" s="131">
        <v>4797</v>
      </c>
      <c r="L37" s="131">
        <v>4361</v>
      </c>
      <c r="M37" s="131">
        <v>436</v>
      </c>
      <c r="N37" s="131">
        <v>4709</v>
      </c>
      <c r="O37" s="131">
        <v>4333</v>
      </c>
      <c r="P37" s="131">
        <v>376</v>
      </c>
      <c r="Q37" s="131">
        <v>87.533999999999992</v>
      </c>
      <c r="R37" s="131">
        <v>27.533999999999999</v>
      </c>
      <c r="S37" s="131">
        <v>60</v>
      </c>
      <c r="T37" s="131">
        <v>0</v>
      </c>
      <c r="U37" s="131"/>
      <c r="V37" s="131"/>
      <c r="W37" s="131">
        <v>0</v>
      </c>
      <c r="X37" s="131"/>
      <c r="Y37" s="131"/>
      <c r="Z37" s="131"/>
      <c r="AA37" s="131"/>
      <c r="AB37" s="132"/>
      <c r="AC37" s="132"/>
      <c r="AD37" s="132"/>
      <c r="AE37" s="132"/>
      <c r="AF37" s="66"/>
    </row>
    <row r="38" spans="1:37" ht="93.75">
      <c r="A38" s="58">
        <v>22</v>
      </c>
      <c r="B38" s="47" t="s">
        <v>897</v>
      </c>
      <c r="C38" s="59" t="s">
        <v>898</v>
      </c>
      <c r="D38" s="59" t="s">
        <v>899</v>
      </c>
      <c r="E38" s="59" t="s">
        <v>230</v>
      </c>
      <c r="F38" s="59" t="s">
        <v>900</v>
      </c>
      <c r="G38" s="131">
        <v>4866</v>
      </c>
      <c r="H38" s="131"/>
      <c r="I38" s="131"/>
      <c r="J38" s="131"/>
      <c r="K38" s="131">
        <v>4050</v>
      </c>
      <c r="L38" s="131">
        <v>3682</v>
      </c>
      <c r="M38" s="131">
        <v>368</v>
      </c>
      <c r="N38" s="131">
        <v>3995</v>
      </c>
      <c r="O38" s="131">
        <v>3682</v>
      </c>
      <c r="P38" s="131">
        <v>313</v>
      </c>
      <c r="Q38" s="131">
        <v>55</v>
      </c>
      <c r="R38" s="131">
        <v>0</v>
      </c>
      <c r="S38" s="131">
        <v>55</v>
      </c>
      <c r="T38" s="131">
        <v>13</v>
      </c>
      <c r="U38" s="131">
        <v>0</v>
      </c>
      <c r="V38" s="131">
        <v>13</v>
      </c>
      <c r="W38" s="131">
        <v>0</v>
      </c>
      <c r="X38" s="131"/>
      <c r="Y38" s="131"/>
      <c r="Z38" s="131"/>
      <c r="AA38" s="131"/>
      <c r="AB38" s="132"/>
      <c r="AC38" s="132">
        <v>0</v>
      </c>
      <c r="AD38" s="132"/>
      <c r="AE38" s="132"/>
      <c r="AF38" s="66"/>
      <c r="AH38" s="4">
        <v>0</v>
      </c>
    </row>
    <row r="39" spans="1:37" ht="93.75">
      <c r="A39" s="58">
        <v>23</v>
      </c>
      <c r="B39" s="47" t="s">
        <v>901</v>
      </c>
      <c r="C39" s="59" t="s">
        <v>902</v>
      </c>
      <c r="D39" s="59" t="s">
        <v>903</v>
      </c>
      <c r="E39" s="59" t="s">
        <v>230</v>
      </c>
      <c r="F39" s="59" t="s">
        <v>904</v>
      </c>
      <c r="G39" s="131">
        <v>5580</v>
      </c>
      <c r="H39" s="131"/>
      <c r="I39" s="131"/>
      <c r="J39" s="131"/>
      <c r="K39" s="131">
        <v>5062</v>
      </c>
      <c r="L39" s="131">
        <v>4601</v>
      </c>
      <c r="M39" s="131">
        <v>461</v>
      </c>
      <c r="N39" s="131">
        <v>5048</v>
      </c>
      <c r="O39" s="131">
        <v>4601</v>
      </c>
      <c r="P39" s="131">
        <v>447</v>
      </c>
      <c r="Q39" s="131">
        <v>14</v>
      </c>
      <c r="R39" s="131">
        <v>0</v>
      </c>
      <c r="S39" s="131">
        <v>14</v>
      </c>
      <c r="T39" s="131">
        <v>0</v>
      </c>
      <c r="U39" s="131"/>
      <c r="V39" s="131"/>
      <c r="W39" s="131">
        <v>0</v>
      </c>
      <c r="X39" s="131"/>
      <c r="Y39" s="131"/>
      <c r="Z39" s="131"/>
      <c r="AA39" s="131"/>
      <c r="AB39" s="132"/>
      <c r="AC39" s="132">
        <v>0</v>
      </c>
      <c r="AD39" s="132"/>
      <c r="AE39" s="132"/>
      <c r="AF39" s="66"/>
      <c r="AH39" s="4">
        <v>0</v>
      </c>
    </row>
    <row r="40" spans="1:37" ht="93.75">
      <c r="A40" s="58">
        <v>24</v>
      </c>
      <c r="B40" s="47" t="s">
        <v>905</v>
      </c>
      <c r="C40" s="59" t="s">
        <v>906</v>
      </c>
      <c r="D40" s="59" t="s">
        <v>907</v>
      </c>
      <c r="E40" s="59" t="s">
        <v>230</v>
      </c>
      <c r="F40" s="59" t="s">
        <v>908</v>
      </c>
      <c r="G40" s="131">
        <v>3122</v>
      </c>
      <c r="H40" s="131"/>
      <c r="I40" s="131"/>
      <c r="J40" s="131"/>
      <c r="K40" s="131">
        <v>2973</v>
      </c>
      <c r="L40" s="131">
        <v>2703</v>
      </c>
      <c r="M40" s="131">
        <v>270</v>
      </c>
      <c r="N40" s="131">
        <v>2893</v>
      </c>
      <c r="O40" s="131">
        <v>2703</v>
      </c>
      <c r="P40" s="131">
        <v>190</v>
      </c>
      <c r="Q40" s="131">
        <v>80</v>
      </c>
      <c r="R40" s="131">
        <v>0</v>
      </c>
      <c r="S40" s="131">
        <v>80</v>
      </c>
      <c r="T40" s="131">
        <v>155</v>
      </c>
      <c r="U40" s="131">
        <v>88</v>
      </c>
      <c r="V40" s="131">
        <v>67</v>
      </c>
      <c r="W40" s="131">
        <v>0</v>
      </c>
      <c r="X40" s="131"/>
      <c r="Y40" s="131"/>
      <c r="Z40" s="131"/>
      <c r="AA40" s="131"/>
      <c r="AB40" s="132"/>
      <c r="AC40" s="132">
        <v>0</v>
      </c>
      <c r="AD40" s="132"/>
      <c r="AE40" s="132"/>
      <c r="AF40" s="66"/>
      <c r="AH40" s="4">
        <v>0</v>
      </c>
    </row>
    <row r="41" spans="1:37" s="2" customFormat="1" ht="117.75" customHeight="1">
      <c r="A41" s="50" t="s">
        <v>43</v>
      </c>
      <c r="B41" s="51" t="s">
        <v>909</v>
      </c>
      <c r="C41" s="52"/>
      <c r="D41" s="52"/>
      <c r="E41" s="52"/>
      <c r="F41" s="52"/>
      <c r="G41" s="130">
        <f>SUM(G42:G47)</f>
        <v>103168</v>
      </c>
      <c r="H41" s="130">
        <f t="shared" ref="H41:AE41" si="3">SUM(H42:H47)</f>
        <v>0</v>
      </c>
      <c r="I41" s="130">
        <f t="shared" si="3"/>
        <v>0</v>
      </c>
      <c r="J41" s="130">
        <f t="shared" si="3"/>
        <v>0</v>
      </c>
      <c r="K41" s="130">
        <f t="shared" si="3"/>
        <v>61568</v>
      </c>
      <c r="L41" s="130">
        <f t="shared" si="3"/>
        <v>55971</v>
      </c>
      <c r="M41" s="130">
        <f t="shared" si="3"/>
        <v>5597</v>
      </c>
      <c r="N41" s="130">
        <f t="shared" si="3"/>
        <v>48149.705999999998</v>
      </c>
      <c r="O41" s="130">
        <f t="shared" si="3"/>
        <v>45441.705999999998</v>
      </c>
      <c r="P41" s="130">
        <f t="shared" si="3"/>
        <v>2708</v>
      </c>
      <c r="Q41" s="130">
        <f t="shared" si="3"/>
        <v>13418</v>
      </c>
      <c r="R41" s="130">
        <f t="shared" si="3"/>
        <v>10529</v>
      </c>
      <c r="S41" s="130">
        <f t="shared" si="3"/>
        <v>2889</v>
      </c>
      <c r="T41" s="130">
        <f t="shared" si="3"/>
        <v>9045</v>
      </c>
      <c r="U41" s="130">
        <f t="shared" si="3"/>
        <v>8214</v>
      </c>
      <c r="V41" s="130">
        <f t="shared" si="3"/>
        <v>831</v>
      </c>
      <c r="W41" s="130">
        <f t="shared" si="3"/>
        <v>11000</v>
      </c>
      <c r="X41" s="130">
        <f t="shared" si="3"/>
        <v>10000</v>
      </c>
      <c r="Y41" s="130">
        <f t="shared" si="3"/>
        <v>1000</v>
      </c>
      <c r="Z41" s="130">
        <f t="shared" si="3"/>
        <v>5868</v>
      </c>
      <c r="AA41" s="130">
        <f t="shared" si="3"/>
        <v>5612</v>
      </c>
      <c r="AB41" s="130">
        <f t="shared" si="3"/>
        <v>256</v>
      </c>
      <c r="AC41" s="130">
        <f t="shared" si="3"/>
        <v>15386</v>
      </c>
      <c r="AD41" s="130">
        <f t="shared" si="3"/>
        <v>13987</v>
      </c>
      <c r="AE41" s="130">
        <f t="shared" si="3"/>
        <v>1399</v>
      </c>
      <c r="AF41" s="72"/>
      <c r="AG41" s="2">
        <v>256</v>
      </c>
      <c r="AH41" s="2">
        <v>15386</v>
      </c>
      <c r="AI41" s="2">
        <v>13987</v>
      </c>
      <c r="AJ41" s="2">
        <v>1399</v>
      </c>
    </row>
    <row r="42" spans="1:37" ht="93.75">
      <c r="A42" s="58">
        <v>1</v>
      </c>
      <c r="B42" s="47" t="s">
        <v>910</v>
      </c>
      <c r="C42" s="59" t="s">
        <v>894</v>
      </c>
      <c r="D42" s="59" t="s">
        <v>911</v>
      </c>
      <c r="E42" s="59" t="s">
        <v>312</v>
      </c>
      <c r="F42" s="59" t="s">
        <v>912</v>
      </c>
      <c r="G42" s="131">
        <v>23555</v>
      </c>
      <c r="H42" s="131"/>
      <c r="I42" s="131"/>
      <c r="J42" s="131"/>
      <c r="K42" s="131">
        <v>14391</v>
      </c>
      <c r="L42" s="131">
        <v>13083</v>
      </c>
      <c r="M42" s="131">
        <v>1308</v>
      </c>
      <c r="N42" s="131">
        <v>14391</v>
      </c>
      <c r="O42" s="131">
        <v>13083</v>
      </c>
      <c r="P42" s="131">
        <v>1308</v>
      </c>
      <c r="Q42" s="131"/>
      <c r="R42" s="131"/>
      <c r="S42" s="131"/>
      <c r="T42" s="131"/>
      <c r="U42" s="131"/>
      <c r="V42" s="131"/>
      <c r="W42" s="131">
        <v>5670</v>
      </c>
      <c r="X42" s="131">
        <v>5155</v>
      </c>
      <c r="Y42" s="131">
        <v>515</v>
      </c>
      <c r="Z42" s="131">
        <v>5411</v>
      </c>
      <c r="AA42" s="131">
        <v>5155</v>
      </c>
      <c r="AB42" s="132">
        <v>256</v>
      </c>
      <c r="AC42" s="132">
        <v>311</v>
      </c>
      <c r="AD42" s="132">
        <v>282</v>
      </c>
      <c r="AE42" s="132">
        <v>29</v>
      </c>
      <c r="AF42" s="66"/>
      <c r="AG42" s="4">
        <v>256</v>
      </c>
      <c r="AH42" s="4">
        <v>311</v>
      </c>
      <c r="AI42" s="4">
        <v>282</v>
      </c>
      <c r="AJ42" s="4">
        <v>29</v>
      </c>
    </row>
    <row r="43" spans="1:37" ht="112.5">
      <c r="A43" s="58">
        <v>2</v>
      </c>
      <c r="B43" s="47" t="s">
        <v>913</v>
      </c>
      <c r="C43" s="59" t="s">
        <v>914</v>
      </c>
      <c r="D43" s="59" t="s">
        <v>915</v>
      </c>
      <c r="E43" s="59" t="s">
        <v>312</v>
      </c>
      <c r="F43" s="59" t="s">
        <v>916</v>
      </c>
      <c r="G43" s="131">
        <v>28249</v>
      </c>
      <c r="H43" s="131"/>
      <c r="I43" s="131"/>
      <c r="J43" s="131"/>
      <c r="K43" s="131">
        <v>15463</v>
      </c>
      <c r="L43" s="131">
        <v>14057</v>
      </c>
      <c r="M43" s="131">
        <v>1406</v>
      </c>
      <c r="N43" s="131">
        <v>14607.165999999999</v>
      </c>
      <c r="O43" s="131">
        <v>13207.165999999999</v>
      </c>
      <c r="P43" s="131">
        <v>1400</v>
      </c>
      <c r="Q43" s="131">
        <v>856</v>
      </c>
      <c r="R43" s="131">
        <v>850</v>
      </c>
      <c r="S43" s="131">
        <v>6</v>
      </c>
      <c r="T43" s="131">
        <v>850</v>
      </c>
      <c r="U43" s="131">
        <v>850</v>
      </c>
      <c r="V43" s="131"/>
      <c r="W43" s="131">
        <v>5330</v>
      </c>
      <c r="X43" s="131">
        <v>4845</v>
      </c>
      <c r="Y43" s="131">
        <v>485</v>
      </c>
      <c r="Z43" s="131">
        <v>457</v>
      </c>
      <c r="AA43" s="131">
        <v>457</v>
      </c>
      <c r="AB43" s="132">
        <v>0</v>
      </c>
      <c r="AC43" s="132">
        <v>4769</v>
      </c>
      <c r="AD43" s="132">
        <v>4336</v>
      </c>
      <c r="AE43" s="132">
        <v>433</v>
      </c>
      <c r="AF43" s="66"/>
      <c r="AG43" s="4">
        <v>0</v>
      </c>
      <c r="AH43" s="4">
        <v>4769</v>
      </c>
      <c r="AI43" s="4">
        <v>4336</v>
      </c>
      <c r="AJ43" s="4">
        <v>433</v>
      </c>
    </row>
    <row r="44" spans="1:37" ht="93.75">
      <c r="A44" s="58">
        <v>6</v>
      </c>
      <c r="B44" s="47" t="s">
        <v>917</v>
      </c>
      <c r="C44" s="59" t="s">
        <v>888</v>
      </c>
      <c r="D44" s="59" t="s">
        <v>918</v>
      </c>
      <c r="E44" s="59" t="s">
        <v>312</v>
      </c>
      <c r="F44" s="59" t="s">
        <v>919</v>
      </c>
      <c r="G44" s="131">
        <v>21844</v>
      </c>
      <c r="H44" s="131"/>
      <c r="I44" s="131"/>
      <c r="J44" s="131"/>
      <c r="K44" s="131">
        <v>19151</v>
      </c>
      <c r="L44" s="131">
        <v>17410</v>
      </c>
      <c r="M44" s="131">
        <v>1741</v>
      </c>
      <c r="N44" s="131">
        <v>10958.94</v>
      </c>
      <c r="O44" s="131">
        <v>10958.94</v>
      </c>
      <c r="P44" s="131"/>
      <c r="Q44" s="131">
        <v>8192</v>
      </c>
      <c r="R44" s="131">
        <v>6451</v>
      </c>
      <c r="S44" s="131">
        <v>1741</v>
      </c>
      <c r="T44" s="131">
        <v>4136</v>
      </c>
      <c r="U44" s="131">
        <v>4136</v>
      </c>
      <c r="V44" s="131"/>
      <c r="W44" s="131"/>
      <c r="X44" s="131"/>
      <c r="Y44" s="131"/>
      <c r="Z44" s="131"/>
      <c r="AA44" s="131"/>
      <c r="AB44" s="132"/>
      <c r="AC44" s="132"/>
      <c r="AD44" s="132"/>
      <c r="AE44" s="132"/>
      <c r="AF44" s="66"/>
    </row>
    <row r="45" spans="1:37" ht="93.75">
      <c r="A45" s="58">
        <v>3</v>
      </c>
      <c r="B45" s="47" t="s">
        <v>920</v>
      </c>
      <c r="C45" s="59" t="s">
        <v>921</v>
      </c>
      <c r="D45" s="59" t="s">
        <v>922</v>
      </c>
      <c r="E45" s="59" t="s">
        <v>312</v>
      </c>
      <c r="F45" s="59" t="s">
        <v>923</v>
      </c>
      <c r="G45" s="131">
        <v>16432</v>
      </c>
      <c r="H45" s="131"/>
      <c r="I45" s="131"/>
      <c r="J45" s="131"/>
      <c r="K45" s="131">
        <v>12563</v>
      </c>
      <c r="L45" s="131">
        <v>11421</v>
      </c>
      <c r="M45" s="131">
        <v>1142</v>
      </c>
      <c r="N45" s="131">
        <v>8192.6</v>
      </c>
      <c r="O45" s="131">
        <v>8192.6</v>
      </c>
      <c r="P45" s="131"/>
      <c r="Q45" s="131">
        <v>4370</v>
      </c>
      <c r="R45" s="131">
        <v>3228</v>
      </c>
      <c r="S45" s="131">
        <v>1142</v>
      </c>
      <c r="T45" s="131">
        <v>4059</v>
      </c>
      <c r="U45" s="131">
        <v>3228</v>
      </c>
      <c r="V45" s="131">
        <v>831</v>
      </c>
      <c r="W45" s="131"/>
      <c r="X45" s="131"/>
      <c r="Y45" s="131"/>
      <c r="Z45" s="131"/>
      <c r="AA45" s="131"/>
      <c r="AB45" s="132"/>
      <c r="AC45" s="132">
        <v>511</v>
      </c>
      <c r="AD45" s="132">
        <v>465</v>
      </c>
      <c r="AE45" s="132">
        <v>46</v>
      </c>
      <c r="AF45" s="59" t="s">
        <v>886</v>
      </c>
      <c r="AH45" s="4">
        <v>511</v>
      </c>
      <c r="AI45" s="4">
        <v>465</v>
      </c>
      <c r="AJ45" s="4">
        <v>46</v>
      </c>
      <c r="AK45" s="4" t="s">
        <v>886</v>
      </c>
    </row>
    <row r="46" spans="1:37" ht="56.25">
      <c r="A46" s="58">
        <v>4</v>
      </c>
      <c r="B46" s="47" t="s">
        <v>924</v>
      </c>
      <c r="C46" s="59" t="s">
        <v>925</v>
      </c>
      <c r="D46" s="59"/>
      <c r="E46" s="59"/>
      <c r="F46" s="59"/>
      <c r="G46" s="131">
        <v>6685</v>
      </c>
      <c r="H46" s="131"/>
      <c r="I46" s="131"/>
      <c r="J46" s="131"/>
      <c r="K46" s="131">
        <v>0</v>
      </c>
      <c r="L46" s="131"/>
      <c r="M46" s="131"/>
      <c r="N46" s="131"/>
      <c r="O46" s="131"/>
      <c r="P46" s="131"/>
      <c r="Q46" s="131"/>
      <c r="R46" s="131"/>
      <c r="S46" s="131"/>
      <c r="T46" s="131"/>
      <c r="U46" s="131"/>
      <c r="V46" s="131"/>
      <c r="W46" s="131"/>
      <c r="X46" s="131"/>
      <c r="Y46" s="131"/>
      <c r="Z46" s="131"/>
      <c r="AA46" s="131"/>
      <c r="AB46" s="132"/>
      <c r="AC46" s="132">
        <v>5385</v>
      </c>
      <c r="AD46" s="132">
        <v>4895</v>
      </c>
      <c r="AE46" s="132">
        <v>490</v>
      </c>
      <c r="AF46" s="59" t="s">
        <v>886</v>
      </c>
      <c r="AH46" s="4">
        <v>5385</v>
      </c>
      <c r="AI46" s="4">
        <v>4895</v>
      </c>
      <c r="AJ46" s="4">
        <v>490</v>
      </c>
      <c r="AK46" s="4" t="s">
        <v>886</v>
      </c>
    </row>
    <row r="47" spans="1:37" ht="56.25">
      <c r="A47" s="58">
        <v>5</v>
      </c>
      <c r="B47" s="47" t="s">
        <v>926</v>
      </c>
      <c r="C47" s="59" t="s">
        <v>927</v>
      </c>
      <c r="D47" s="59"/>
      <c r="E47" s="59"/>
      <c r="F47" s="59"/>
      <c r="G47" s="131">
        <v>6403</v>
      </c>
      <c r="H47" s="131"/>
      <c r="I47" s="131"/>
      <c r="J47" s="131"/>
      <c r="K47" s="131">
        <v>0</v>
      </c>
      <c r="L47" s="131"/>
      <c r="M47" s="131"/>
      <c r="N47" s="131"/>
      <c r="O47" s="131"/>
      <c r="P47" s="131"/>
      <c r="Q47" s="131"/>
      <c r="R47" s="131"/>
      <c r="S47" s="131"/>
      <c r="T47" s="131"/>
      <c r="U47" s="131"/>
      <c r="V47" s="131"/>
      <c r="W47" s="131"/>
      <c r="X47" s="131"/>
      <c r="Y47" s="131"/>
      <c r="Z47" s="131"/>
      <c r="AA47" s="131"/>
      <c r="AB47" s="132"/>
      <c r="AC47" s="132">
        <v>4410</v>
      </c>
      <c r="AD47" s="132">
        <v>4009</v>
      </c>
      <c r="AE47" s="132">
        <v>401</v>
      </c>
      <c r="AF47" s="59" t="s">
        <v>886</v>
      </c>
      <c r="AH47" s="4">
        <v>4410</v>
      </c>
      <c r="AI47" s="4">
        <v>4009</v>
      </c>
      <c r="AJ47" s="4">
        <v>401</v>
      </c>
      <c r="AK47" s="4" t="s">
        <v>886</v>
      </c>
    </row>
    <row r="48" spans="1:37" s="2" customFormat="1" ht="52.5" customHeight="1">
      <c r="A48" s="50" t="s">
        <v>44</v>
      </c>
      <c r="B48" s="51" t="s">
        <v>1149</v>
      </c>
      <c r="C48" s="52"/>
      <c r="D48" s="52"/>
      <c r="E48" s="52"/>
      <c r="F48" s="52"/>
      <c r="G48" s="130">
        <f>G49+G53</f>
        <v>98059</v>
      </c>
      <c r="H48" s="130">
        <f t="shared" ref="H48:AE48" si="4">H49+H53</f>
        <v>89144</v>
      </c>
      <c r="I48" s="130">
        <f t="shared" si="4"/>
        <v>8915</v>
      </c>
      <c r="J48" s="130">
        <f t="shared" si="4"/>
        <v>0</v>
      </c>
      <c r="K48" s="130">
        <f t="shared" si="4"/>
        <v>49953.1</v>
      </c>
      <c r="L48" s="130">
        <f t="shared" si="4"/>
        <v>45412</v>
      </c>
      <c r="M48" s="130">
        <f t="shared" si="4"/>
        <v>4541.1000000000004</v>
      </c>
      <c r="N48" s="130">
        <f t="shared" si="4"/>
        <v>35812</v>
      </c>
      <c r="O48" s="130">
        <f t="shared" si="4"/>
        <v>34156</v>
      </c>
      <c r="P48" s="130">
        <f t="shared" si="4"/>
        <v>1656</v>
      </c>
      <c r="Q48" s="130">
        <f t="shared" si="4"/>
        <v>14141.300000000001</v>
      </c>
      <c r="R48" s="130">
        <f t="shared" si="4"/>
        <v>11256.2</v>
      </c>
      <c r="S48" s="130">
        <f t="shared" si="4"/>
        <v>2885.1</v>
      </c>
      <c r="T48" s="130">
        <f t="shared" si="4"/>
        <v>3013.4</v>
      </c>
      <c r="U48" s="130">
        <f t="shared" si="4"/>
        <v>2944</v>
      </c>
      <c r="V48" s="130">
        <f t="shared" si="4"/>
        <v>69</v>
      </c>
      <c r="W48" s="130">
        <f t="shared" si="4"/>
        <v>43082</v>
      </c>
      <c r="X48" s="130">
        <f t="shared" si="4"/>
        <v>39165</v>
      </c>
      <c r="Y48" s="130">
        <f t="shared" si="4"/>
        <v>3917</v>
      </c>
      <c r="Z48" s="130">
        <f t="shared" si="4"/>
        <v>5504.6</v>
      </c>
      <c r="AA48" s="130">
        <f t="shared" si="4"/>
        <v>5504.6</v>
      </c>
      <c r="AB48" s="130">
        <f t="shared" si="4"/>
        <v>0</v>
      </c>
      <c r="AC48" s="130">
        <f t="shared" si="4"/>
        <v>5024</v>
      </c>
      <c r="AD48" s="130">
        <f t="shared" si="4"/>
        <v>4567</v>
      </c>
      <c r="AE48" s="130">
        <f t="shared" si="4"/>
        <v>457</v>
      </c>
      <c r="AF48" s="52"/>
    </row>
    <row r="49" spans="1:32" s="2" customFormat="1" ht="56.25">
      <c r="A49" s="50" t="s">
        <v>38</v>
      </c>
      <c r="B49" s="51" t="s">
        <v>1135</v>
      </c>
      <c r="C49" s="52"/>
      <c r="D49" s="52"/>
      <c r="E49" s="52"/>
      <c r="F49" s="52"/>
      <c r="G49" s="130">
        <f>SUM(G50:G52)</f>
        <v>81550</v>
      </c>
      <c r="H49" s="130">
        <f t="shared" ref="H49:AE49" si="5">SUM(H50:H52)</f>
        <v>74136</v>
      </c>
      <c r="I49" s="130">
        <f t="shared" si="5"/>
        <v>7414</v>
      </c>
      <c r="J49" s="130">
        <f t="shared" si="5"/>
        <v>0</v>
      </c>
      <c r="K49" s="130">
        <f t="shared" si="5"/>
        <v>43495.1</v>
      </c>
      <c r="L49" s="130">
        <f t="shared" si="5"/>
        <v>39541</v>
      </c>
      <c r="M49" s="130">
        <f t="shared" si="5"/>
        <v>3954.1</v>
      </c>
      <c r="N49" s="130">
        <f t="shared" si="5"/>
        <v>30892</v>
      </c>
      <c r="O49" s="130">
        <f t="shared" si="5"/>
        <v>29366</v>
      </c>
      <c r="P49" s="130">
        <f t="shared" si="5"/>
        <v>1526</v>
      </c>
      <c r="Q49" s="130">
        <f t="shared" si="5"/>
        <v>12603.1</v>
      </c>
      <c r="R49" s="130">
        <f t="shared" si="5"/>
        <v>10175</v>
      </c>
      <c r="S49" s="130">
        <f t="shared" si="5"/>
        <v>2428.1</v>
      </c>
      <c r="T49" s="130">
        <f t="shared" si="5"/>
        <v>3013.4</v>
      </c>
      <c r="U49" s="130">
        <f t="shared" si="5"/>
        <v>2944</v>
      </c>
      <c r="V49" s="130">
        <f t="shared" si="5"/>
        <v>69</v>
      </c>
      <c r="W49" s="130">
        <f t="shared" si="5"/>
        <v>38055</v>
      </c>
      <c r="X49" s="130">
        <f t="shared" si="5"/>
        <v>34595</v>
      </c>
      <c r="Y49" s="130">
        <f t="shared" si="5"/>
        <v>3460</v>
      </c>
      <c r="Z49" s="130">
        <f t="shared" si="5"/>
        <v>5504.6</v>
      </c>
      <c r="AA49" s="130">
        <f t="shared" si="5"/>
        <v>5504.6</v>
      </c>
      <c r="AB49" s="130">
        <f t="shared" si="5"/>
        <v>0</v>
      </c>
      <c r="AC49" s="130">
        <f t="shared" si="5"/>
        <v>0</v>
      </c>
      <c r="AD49" s="130">
        <f t="shared" si="5"/>
        <v>0</v>
      </c>
      <c r="AE49" s="130">
        <f t="shared" si="5"/>
        <v>0</v>
      </c>
      <c r="AF49" s="52"/>
    </row>
    <row r="50" spans="1:32" ht="75">
      <c r="A50" s="58"/>
      <c r="B50" s="47" t="s">
        <v>1136</v>
      </c>
      <c r="C50" s="59" t="s">
        <v>1137</v>
      </c>
      <c r="D50" s="59"/>
      <c r="E50" s="59"/>
      <c r="F50" s="59" t="s">
        <v>1138</v>
      </c>
      <c r="G50" s="131">
        <v>36579</v>
      </c>
      <c r="H50" s="131">
        <v>33254</v>
      </c>
      <c r="I50" s="131">
        <v>3325</v>
      </c>
      <c r="J50" s="131"/>
      <c r="K50" s="131">
        <v>19993.599999999999</v>
      </c>
      <c r="L50" s="131">
        <v>18176</v>
      </c>
      <c r="M50" s="131">
        <v>1817.6</v>
      </c>
      <c r="N50" s="131">
        <v>9865</v>
      </c>
      <c r="O50" s="131">
        <v>9865</v>
      </c>
      <c r="P50" s="131">
        <v>0</v>
      </c>
      <c r="Q50" s="131">
        <v>10128.6</v>
      </c>
      <c r="R50" s="131">
        <v>8311</v>
      </c>
      <c r="S50" s="131">
        <v>1817.6</v>
      </c>
      <c r="T50" s="131">
        <v>2317</v>
      </c>
      <c r="U50" s="131">
        <v>2248</v>
      </c>
      <c r="V50" s="131">
        <v>69</v>
      </c>
      <c r="W50" s="131">
        <v>16585</v>
      </c>
      <c r="X50" s="131">
        <v>15078</v>
      </c>
      <c r="Y50" s="131">
        <v>1507</v>
      </c>
      <c r="Z50" s="131"/>
      <c r="AA50" s="131"/>
      <c r="AB50" s="132"/>
      <c r="AC50" s="132"/>
      <c r="AD50" s="132"/>
      <c r="AE50" s="132"/>
      <c r="AF50" s="59"/>
    </row>
    <row r="51" spans="1:32" ht="93.75">
      <c r="A51" s="58"/>
      <c r="B51" s="47" t="s">
        <v>1139</v>
      </c>
      <c r="C51" s="59" t="s">
        <v>1140</v>
      </c>
      <c r="D51" s="59"/>
      <c r="E51" s="59"/>
      <c r="F51" s="59" t="s">
        <v>1141</v>
      </c>
      <c r="G51" s="131">
        <v>15000</v>
      </c>
      <c r="H51" s="131">
        <v>13636</v>
      </c>
      <c r="I51" s="131">
        <v>1364</v>
      </c>
      <c r="J51" s="131"/>
      <c r="K51" s="131">
        <v>11210.1</v>
      </c>
      <c r="L51" s="131">
        <v>10191</v>
      </c>
      <c r="M51" s="131">
        <v>1019.1</v>
      </c>
      <c r="N51" s="131">
        <v>9118</v>
      </c>
      <c r="O51" s="131">
        <v>8709</v>
      </c>
      <c r="P51" s="131">
        <v>409</v>
      </c>
      <c r="Q51" s="131">
        <v>2092.1</v>
      </c>
      <c r="R51" s="131">
        <v>1482</v>
      </c>
      <c r="S51" s="131">
        <v>610.1</v>
      </c>
      <c r="T51" s="131">
        <v>314</v>
      </c>
      <c r="U51" s="131">
        <v>314</v>
      </c>
      <c r="V51" s="131"/>
      <c r="W51" s="131">
        <v>3790</v>
      </c>
      <c r="X51" s="131">
        <v>3445</v>
      </c>
      <c r="Y51" s="131">
        <v>345</v>
      </c>
      <c r="Z51" s="131"/>
      <c r="AA51" s="131"/>
      <c r="AB51" s="132"/>
      <c r="AC51" s="132"/>
      <c r="AD51" s="132"/>
      <c r="AE51" s="132"/>
      <c r="AF51" s="59"/>
    </row>
    <row r="52" spans="1:32" ht="93.75">
      <c r="A52" s="58"/>
      <c r="B52" s="47" t="s">
        <v>1142</v>
      </c>
      <c r="C52" s="59" t="s">
        <v>1143</v>
      </c>
      <c r="D52" s="59"/>
      <c r="E52" s="59"/>
      <c r="F52" s="59" t="s">
        <v>1144</v>
      </c>
      <c r="G52" s="131">
        <v>29971</v>
      </c>
      <c r="H52" s="131">
        <v>27246</v>
      </c>
      <c r="I52" s="131">
        <v>2725</v>
      </c>
      <c r="J52" s="131"/>
      <c r="K52" s="131">
        <v>12291.4</v>
      </c>
      <c r="L52" s="131">
        <v>11174</v>
      </c>
      <c r="M52" s="131">
        <v>1117.4000000000001</v>
      </c>
      <c r="N52" s="131">
        <v>11909</v>
      </c>
      <c r="O52" s="131">
        <v>10792</v>
      </c>
      <c r="P52" s="131">
        <v>1117</v>
      </c>
      <c r="Q52" s="131">
        <v>382.40000000000009</v>
      </c>
      <c r="R52" s="131">
        <v>382</v>
      </c>
      <c r="S52" s="131">
        <v>0.40000000000009095</v>
      </c>
      <c r="T52" s="131">
        <v>382.40000000000009</v>
      </c>
      <c r="U52" s="131">
        <v>382</v>
      </c>
      <c r="V52" s="131"/>
      <c r="W52" s="131">
        <v>17680</v>
      </c>
      <c r="X52" s="131">
        <v>16072</v>
      </c>
      <c r="Y52" s="131">
        <v>1608</v>
      </c>
      <c r="Z52" s="131">
        <v>5504.6</v>
      </c>
      <c r="AA52" s="131">
        <v>5504.6</v>
      </c>
      <c r="AB52" s="132"/>
      <c r="AC52" s="132"/>
      <c r="AD52" s="132"/>
      <c r="AE52" s="132"/>
      <c r="AF52" s="59"/>
    </row>
    <row r="53" spans="1:32" s="2" customFormat="1" ht="51.75" customHeight="1">
      <c r="A53" s="50" t="s">
        <v>43</v>
      </c>
      <c r="B53" s="51" t="s">
        <v>1145</v>
      </c>
      <c r="C53" s="52"/>
      <c r="D53" s="52"/>
      <c r="E53" s="52"/>
      <c r="F53" s="52"/>
      <c r="G53" s="130">
        <f>G54</f>
        <v>16509</v>
      </c>
      <c r="H53" s="130">
        <f t="shared" ref="H53:AE53" si="6">H54</f>
        <v>15008</v>
      </c>
      <c r="I53" s="130">
        <f t="shared" si="6"/>
        <v>1501</v>
      </c>
      <c r="J53" s="130">
        <f t="shared" si="6"/>
        <v>0</v>
      </c>
      <c r="K53" s="130">
        <f t="shared" si="6"/>
        <v>6458</v>
      </c>
      <c r="L53" s="130">
        <f t="shared" si="6"/>
        <v>5871</v>
      </c>
      <c r="M53" s="130">
        <f t="shared" si="6"/>
        <v>587</v>
      </c>
      <c r="N53" s="130">
        <f t="shared" si="6"/>
        <v>4920</v>
      </c>
      <c r="O53" s="130">
        <f t="shared" si="6"/>
        <v>4790</v>
      </c>
      <c r="P53" s="130">
        <f t="shared" si="6"/>
        <v>130</v>
      </c>
      <c r="Q53" s="130">
        <f t="shared" si="6"/>
        <v>1538.2</v>
      </c>
      <c r="R53" s="130">
        <f t="shared" si="6"/>
        <v>1081.2</v>
      </c>
      <c r="S53" s="130">
        <f t="shared" si="6"/>
        <v>457</v>
      </c>
      <c r="T53" s="130">
        <f t="shared" si="6"/>
        <v>0</v>
      </c>
      <c r="U53" s="130">
        <f t="shared" si="6"/>
        <v>0</v>
      </c>
      <c r="V53" s="130">
        <f t="shared" si="6"/>
        <v>0</v>
      </c>
      <c r="W53" s="130">
        <f t="shared" si="6"/>
        <v>5027</v>
      </c>
      <c r="X53" s="130">
        <f t="shared" si="6"/>
        <v>4570</v>
      </c>
      <c r="Y53" s="130">
        <f t="shared" si="6"/>
        <v>457</v>
      </c>
      <c r="Z53" s="130">
        <f t="shared" si="6"/>
        <v>0</v>
      </c>
      <c r="AA53" s="130">
        <f t="shared" si="6"/>
        <v>0</v>
      </c>
      <c r="AB53" s="130">
        <f t="shared" si="6"/>
        <v>0</v>
      </c>
      <c r="AC53" s="130">
        <f t="shared" si="6"/>
        <v>5024</v>
      </c>
      <c r="AD53" s="130">
        <f t="shared" si="6"/>
        <v>4567</v>
      </c>
      <c r="AE53" s="130">
        <f t="shared" si="6"/>
        <v>457</v>
      </c>
      <c r="AF53" s="52"/>
    </row>
    <row r="54" spans="1:32" ht="225">
      <c r="A54" s="58"/>
      <c r="B54" s="47" t="s">
        <v>1146</v>
      </c>
      <c r="C54" s="59" t="s">
        <v>1147</v>
      </c>
      <c r="D54" s="59"/>
      <c r="E54" s="59" t="s">
        <v>257</v>
      </c>
      <c r="F54" s="59" t="s">
        <v>1148</v>
      </c>
      <c r="G54" s="131">
        <v>16509</v>
      </c>
      <c r="H54" s="131">
        <v>15008</v>
      </c>
      <c r="I54" s="131">
        <v>1501</v>
      </c>
      <c r="J54" s="131"/>
      <c r="K54" s="131">
        <v>6458</v>
      </c>
      <c r="L54" s="131">
        <v>5871</v>
      </c>
      <c r="M54" s="131">
        <v>587</v>
      </c>
      <c r="N54" s="131">
        <v>4920</v>
      </c>
      <c r="O54" s="131">
        <v>4790</v>
      </c>
      <c r="P54" s="131">
        <v>130</v>
      </c>
      <c r="Q54" s="131">
        <v>1538.2</v>
      </c>
      <c r="R54" s="131">
        <v>1081.2</v>
      </c>
      <c r="S54" s="131">
        <v>457</v>
      </c>
      <c r="T54" s="131">
        <v>0</v>
      </c>
      <c r="U54" s="131">
        <v>0</v>
      </c>
      <c r="V54" s="131">
        <v>0</v>
      </c>
      <c r="W54" s="131">
        <v>5027</v>
      </c>
      <c r="X54" s="131">
        <v>4570</v>
      </c>
      <c r="Y54" s="131">
        <v>457</v>
      </c>
      <c r="Z54" s="131">
        <v>0</v>
      </c>
      <c r="AA54" s="131">
        <v>0</v>
      </c>
      <c r="AB54" s="132"/>
      <c r="AC54" s="132">
        <v>5024</v>
      </c>
      <c r="AD54" s="132">
        <v>4567</v>
      </c>
      <c r="AE54" s="132">
        <v>457</v>
      </c>
      <c r="AF54" s="59"/>
    </row>
    <row r="55" spans="1:32">
      <c r="A55" s="58"/>
      <c r="B55" s="47"/>
      <c r="C55" s="59"/>
      <c r="D55" s="59"/>
      <c r="E55" s="59"/>
      <c r="F55" s="59"/>
      <c r="G55" s="131"/>
      <c r="H55" s="131"/>
      <c r="I55" s="131"/>
      <c r="J55" s="131"/>
      <c r="K55" s="131"/>
      <c r="L55" s="131"/>
      <c r="M55" s="131"/>
      <c r="N55" s="131"/>
      <c r="O55" s="131"/>
      <c r="P55" s="131"/>
      <c r="Q55" s="131"/>
      <c r="R55" s="131"/>
      <c r="S55" s="131"/>
      <c r="T55" s="131"/>
      <c r="U55" s="131"/>
      <c r="V55" s="131"/>
      <c r="W55" s="131"/>
      <c r="X55" s="131"/>
      <c r="Y55" s="131"/>
      <c r="Z55" s="131"/>
      <c r="AA55" s="131"/>
      <c r="AB55" s="132"/>
      <c r="AC55" s="132"/>
      <c r="AD55" s="132"/>
      <c r="AE55" s="132"/>
      <c r="AF55" s="59"/>
    </row>
    <row r="56" spans="1:32">
      <c r="A56" s="58"/>
      <c r="B56" s="47"/>
      <c r="C56" s="59"/>
      <c r="D56" s="59"/>
      <c r="E56" s="59"/>
      <c r="F56" s="59"/>
      <c r="G56" s="131"/>
      <c r="H56" s="131"/>
      <c r="I56" s="131"/>
      <c r="J56" s="131"/>
      <c r="K56" s="131"/>
      <c r="L56" s="131"/>
      <c r="M56" s="131"/>
      <c r="N56" s="131"/>
      <c r="O56" s="131"/>
      <c r="P56" s="131"/>
      <c r="Q56" s="131"/>
      <c r="R56" s="131"/>
      <c r="S56" s="131"/>
      <c r="T56" s="131"/>
      <c r="U56" s="131"/>
      <c r="V56" s="131"/>
      <c r="W56" s="131"/>
      <c r="X56" s="131"/>
      <c r="Y56" s="131"/>
      <c r="Z56" s="131"/>
      <c r="AA56" s="131"/>
      <c r="AB56" s="132"/>
      <c r="AC56" s="132"/>
      <c r="AD56" s="132"/>
      <c r="AE56" s="132"/>
      <c r="AF56" s="59"/>
    </row>
    <row r="57" spans="1:32">
      <c r="A57" s="58"/>
      <c r="B57" s="47"/>
      <c r="C57" s="59"/>
      <c r="D57" s="59"/>
      <c r="E57" s="59"/>
      <c r="F57" s="59"/>
      <c r="G57" s="131"/>
      <c r="H57" s="131"/>
      <c r="I57" s="131"/>
      <c r="J57" s="131"/>
      <c r="K57" s="131"/>
      <c r="L57" s="131"/>
      <c r="M57" s="131"/>
      <c r="N57" s="131"/>
      <c r="O57" s="131"/>
      <c r="P57" s="131"/>
      <c r="Q57" s="131"/>
      <c r="R57" s="131"/>
      <c r="S57" s="131"/>
      <c r="T57" s="131"/>
      <c r="U57" s="131"/>
      <c r="V57" s="131"/>
      <c r="W57" s="131"/>
      <c r="X57" s="131"/>
      <c r="Y57" s="131"/>
      <c r="Z57" s="131"/>
      <c r="AA57" s="131"/>
      <c r="AB57" s="132"/>
      <c r="AC57" s="132"/>
      <c r="AD57" s="132"/>
      <c r="AE57" s="132"/>
      <c r="AF57" s="59"/>
    </row>
    <row r="58" spans="1:32">
      <c r="A58" s="58"/>
      <c r="B58" s="47"/>
      <c r="C58" s="59"/>
      <c r="D58" s="59"/>
      <c r="E58" s="59"/>
      <c r="F58" s="59"/>
      <c r="G58" s="131"/>
      <c r="H58" s="131"/>
      <c r="I58" s="131"/>
      <c r="J58" s="131"/>
      <c r="K58" s="131"/>
      <c r="L58" s="131"/>
      <c r="M58" s="131"/>
      <c r="N58" s="131"/>
      <c r="O58" s="131"/>
      <c r="P58" s="131"/>
      <c r="Q58" s="131"/>
      <c r="R58" s="131"/>
      <c r="S58" s="131"/>
      <c r="T58" s="131"/>
      <c r="U58" s="131"/>
      <c r="V58" s="131"/>
      <c r="W58" s="131"/>
      <c r="X58" s="131"/>
      <c r="Y58" s="131"/>
      <c r="Z58" s="131"/>
      <c r="AA58" s="131"/>
      <c r="AB58" s="132"/>
      <c r="AC58" s="132"/>
      <c r="AD58" s="132"/>
      <c r="AE58" s="132"/>
      <c r="AF58" s="59"/>
    </row>
    <row r="59" spans="1:32">
      <c r="A59" s="58"/>
      <c r="B59" s="47"/>
      <c r="C59" s="59"/>
      <c r="D59" s="59"/>
      <c r="E59" s="59"/>
      <c r="F59" s="59"/>
      <c r="G59" s="131"/>
      <c r="H59" s="131"/>
      <c r="I59" s="131"/>
      <c r="J59" s="131"/>
      <c r="K59" s="131"/>
      <c r="L59" s="131"/>
      <c r="M59" s="131"/>
      <c r="N59" s="131"/>
      <c r="O59" s="131"/>
      <c r="P59" s="131"/>
      <c r="Q59" s="131"/>
      <c r="R59" s="131"/>
      <c r="S59" s="131"/>
      <c r="T59" s="131"/>
      <c r="U59" s="131"/>
      <c r="V59" s="131"/>
      <c r="W59" s="131"/>
      <c r="X59" s="131"/>
      <c r="Y59" s="131"/>
      <c r="Z59" s="131"/>
      <c r="AA59" s="131"/>
      <c r="AB59" s="132"/>
      <c r="AC59" s="132"/>
      <c r="AD59" s="132"/>
      <c r="AE59" s="132"/>
      <c r="AF59" s="59"/>
    </row>
    <row r="60" spans="1:32">
      <c r="A60" s="58"/>
      <c r="B60" s="47"/>
      <c r="C60" s="59"/>
      <c r="D60" s="59"/>
      <c r="E60" s="59"/>
      <c r="F60" s="59"/>
      <c r="G60" s="131"/>
      <c r="H60" s="131"/>
      <c r="I60" s="131"/>
      <c r="J60" s="131"/>
      <c r="K60" s="131"/>
      <c r="L60" s="131"/>
      <c r="M60" s="131"/>
      <c r="N60" s="131"/>
      <c r="O60" s="131"/>
      <c r="P60" s="131"/>
      <c r="Q60" s="131"/>
      <c r="R60" s="131"/>
      <c r="S60" s="131"/>
      <c r="T60" s="131"/>
      <c r="U60" s="131"/>
      <c r="V60" s="131"/>
      <c r="W60" s="131"/>
      <c r="X60" s="131"/>
      <c r="Y60" s="131"/>
      <c r="Z60" s="131"/>
      <c r="AA60" s="131"/>
      <c r="AB60" s="132"/>
      <c r="AC60" s="132"/>
      <c r="AD60" s="132"/>
      <c r="AE60" s="132"/>
      <c r="AF60" s="59"/>
    </row>
    <row r="61" spans="1:32">
      <c r="A61" s="58"/>
      <c r="B61" s="47"/>
      <c r="C61" s="59"/>
      <c r="D61" s="59"/>
      <c r="E61" s="59"/>
      <c r="F61" s="59"/>
      <c r="G61" s="131"/>
      <c r="H61" s="131"/>
      <c r="I61" s="131"/>
      <c r="J61" s="131"/>
      <c r="K61" s="131"/>
      <c r="L61" s="131"/>
      <c r="M61" s="131"/>
      <c r="N61" s="131"/>
      <c r="O61" s="131"/>
      <c r="P61" s="131"/>
      <c r="Q61" s="131"/>
      <c r="R61" s="131"/>
      <c r="S61" s="131"/>
      <c r="T61" s="131"/>
      <c r="U61" s="131"/>
      <c r="V61" s="131"/>
      <c r="W61" s="131"/>
      <c r="X61" s="131"/>
      <c r="Y61" s="131"/>
      <c r="Z61" s="131"/>
      <c r="AA61" s="131"/>
      <c r="AB61" s="132"/>
      <c r="AC61" s="132"/>
      <c r="AD61" s="132"/>
      <c r="AE61" s="132"/>
      <c r="AF61" s="59"/>
    </row>
    <row r="62" spans="1:32">
      <c r="A62" s="58"/>
      <c r="B62" s="47"/>
      <c r="C62" s="59"/>
      <c r="D62" s="59"/>
      <c r="E62" s="59"/>
      <c r="F62" s="59"/>
      <c r="G62" s="131"/>
      <c r="H62" s="131"/>
      <c r="I62" s="131"/>
      <c r="J62" s="131"/>
      <c r="K62" s="131"/>
      <c r="L62" s="131"/>
      <c r="M62" s="131"/>
      <c r="N62" s="131"/>
      <c r="O62" s="131"/>
      <c r="P62" s="131"/>
      <c r="Q62" s="131"/>
      <c r="R62" s="131"/>
      <c r="S62" s="131"/>
      <c r="T62" s="131"/>
      <c r="U62" s="131"/>
      <c r="V62" s="131"/>
      <c r="W62" s="131"/>
      <c r="X62" s="131"/>
      <c r="Y62" s="131"/>
      <c r="Z62" s="131"/>
      <c r="AA62" s="131"/>
      <c r="AB62" s="132"/>
      <c r="AC62" s="132"/>
      <c r="AD62" s="132"/>
      <c r="AE62" s="132"/>
      <c r="AF62" s="59"/>
    </row>
    <row r="63" spans="1:32">
      <c r="A63" s="58"/>
      <c r="B63" s="47"/>
      <c r="C63" s="59"/>
      <c r="D63" s="59"/>
      <c r="E63" s="59"/>
      <c r="F63" s="59"/>
      <c r="G63" s="131"/>
      <c r="H63" s="131"/>
      <c r="I63" s="131"/>
      <c r="J63" s="131"/>
      <c r="K63" s="131"/>
      <c r="L63" s="131"/>
      <c r="M63" s="131"/>
      <c r="N63" s="131"/>
      <c r="O63" s="131"/>
      <c r="P63" s="131"/>
      <c r="Q63" s="131"/>
      <c r="R63" s="131"/>
      <c r="S63" s="131"/>
      <c r="T63" s="131"/>
      <c r="U63" s="131"/>
      <c r="V63" s="131"/>
      <c r="W63" s="131"/>
      <c r="X63" s="131"/>
      <c r="Y63" s="131"/>
      <c r="Z63" s="131"/>
      <c r="AA63" s="131"/>
      <c r="AB63" s="132"/>
      <c r="AC63" s="132"/>
      <c r="AD63" s="132"/>
      <c r="AE63" s="132"/>
      <c r="AF63" s="59"/>
    </row>
    <row r="64" spans="1:32">
      <c r="A64" s="58"/>
      <c r="B64" s="47"/>
      <c r="C64" s="59"/>
      <c r="D64" s="59"/>
      <c r="E64" s="59"/>
      <c r="F64" s="59"/>
      <c r="G64" s="131"/>
      <c r="H64" s="131"/>
      <c r="I64" s="131"/>
      <c r="J64" s="131"/>
      <c r="K64" s="131"/>
      <c r="L64" s="131"/>
      <c r="M64" s="131"/>
      <c r="N64" s="131"/>
      <c r="O64" s="131"/>
      <c r="P64" s="131"/>
      <c r="Q64" s="131"/>
      <c r="R64" s="131"/>
      <c r="S64" s="131"/>
      <c r="T64" s="131"/>
      <c r="U64" s="131"/>
      <c r="V64" s="131"/>
      <c r="W64" s="131"/>
      <c r="X64" s="131"/>
      <c r="Y64" s="131"/>
      <c r="Z64" s="131"/>
      <c r="AA64" s="131"/>
      <c r="AB64" s="132"/>
      <c r="AC64" s="132"/>
      <c r="AD64" s="132"/>
      <c r="AE64" s="132"/>
      <c r="AF64" s="59"/>
    </row>
    <row r="65" spans="1:32">
      <c r="A65" s="58"/>
      <c r="B65" s="47"/>
      <c r="C65" s="59"/>
      <c r="D65" s="59"/>
      <c r="E65" s="59"/>
      <c r="F65" s="59"/>
      <c r="G65" s="131"/>
      <c r="H65" s="131"/>
      <c r="I65" s="131"/>
      <c r="J65" s="131"/>
      <c r="K65" s="131"/>
      <c r="L65" s="131"/>
      <c r="M65" s="131"/>
      <c r="N65" s="131"/>
      <c r="O65" s="131"/>
      <c r="P65" s="131"/>
      <c r="Q65" s="131"/>
      <c r="R65" s="131"/>
      <c r="S65" s="131"/>
      <c r="T65" s="131"/>
      <c r="U65" s="131"/>
      <c r="V65" s="131"/>
      <c r="W65" s="131"/>
      <c r="X65" s="131"/>
      <c r="Y65" s="131"/>
      <c r="Z65" s="131"/>
      <c r="AA65" s="131"/>
      <c r="AB65" s="132"/>
      <c r="AC65" s="132"/>
      <c r="AD65" s="132"/>
      <c r="AE65" s="132"/>
      <c r="AF65" s="59"/>
    </row>
    <row r="66" spans="1:32">
      <c r="A66" s="58"/>
      <c r="B66" s="47"/>
      <c r="C66" s="59"/>
      <c r="D66" s="59"/>
      <c r="E66" s="59"/>
      <c r="F66" s="59"/>
      <c r="G66" s="131"/>
      <c r="H66" s="131"/>
      <c r="I66" s="131"/>
      <c r="J66" s="131"/>
      <c r="K66" s="131"/>
      <c r="L66" s="131"/>
      <c r="M66" s="131"/>
      <c r="N66" s="131"/>
      <c r="O66" s="131"/>
      <c r="P66" s="131"/>
      <c r="Q66" s="131"/>
      <c r="R66" s="131"/>
      <c r="S66" s="131"/>
      <c r="T66" s="131"/>
      <c r="U66" s="131"/>
      <c r="V66" s="131"/>
      <c r="W66" s="131"/>
      <c r="X66" s="131"/>
      <c r="Y66" s="131"/>
      <c r="Z66" s="131"/>
      <c r="AA66" s="131"/>
      <c r="AB66" s="132"/>
      <c r="AC66" s="132"/>
      <c r="AD66" s="132"/>
      <c r="AE66" s="132"/>
      <c r="AF66" s="59"/>
    </row>
    <row r="67" spans="1:32">
      <c r="A67" s="58"/>
      <c r="B67" s="47"/>
      <c r="C67" s="59"/>
      <c r="D67" s="59"/>
      <c r="E67" s="59"/>
      <c r="F67" s="59"/>
      <c r="G67" s="131"/>
      <c r="H67" s="131"/>
      <c r="I67" s="131"/>
      <c r="J67" s="131"/>
      <c r="K67" s="131"/>
      <c r="L67" s="131"/>
      <c r="M67" s="131"/>
      <c r="N67" s="131"/>
      <c r="O67" s="131"/>
      <c r="P67" s="131"/>
      <c r="Q67" s="131"/>
      <c r="R67" s="131"/>
      <c r="S67" s="131"/>
      <c r="T67" s="131"/>
      <c r="U67" s="131"/>
      <c r="V67" s="131"/>
      <c r="W67" s="131"/>
      <c r="X67" s="131"/>
      <c r="Y67" s="131"/>
      <c r="Z67" s="131"/>
      <c r="AA67" s="131"/>
      <c r="AB67" s="132"/>
      <c r="AC67" s="132"/>
      <c r="AD67" s="132"/>
      <c r="AE67" s="132"/>
      <c r="AF67" s="59"/>
    </row>
    <row r="68" spans="1:32">
      <c r="A68" s="58"/>
      <c r="B68" s="47"/>
      <c r="C68" s="59"/>
      <c r="D68" s="59"/>
      <c r="E68" s="59"/>
      <c r="F68" s="59"/>
      <c r="G68" s="131"/>
      <c r="H68" s="131"/>
      <c r="I68" s="131"/>
      <c r="J68" s="131"/>
      <c r="K68" s="131"/>
      <c r="L68" s="131"/>
      <c r="M68" s="131"/>
      <c r="N68" s="131"/>
      <c r="O68" s="131"/>
      <c r="P68" s="131"/>
      <c r="Q68" s="131"/>
      <c r="R68" s="131"/>
      <c r="S68" s="131"/>
      <c r="T68" s="131"/>
      <c r="U68" s="131"/>
      <c r="V68" s="131"/>
      <c r="W68" s="131"/>
      <c r="X68" s="131"/>
      <c r="Y68" s="131"/>
      <c r="Z68" s="131"/>
      <c r="AA68" s="131"/>
      <c r="AB68" s="132"/>
      <c r="AC68" s="132"/>
      <c r="AD68" s="132"/>
      <c r="AE68" s="132"/>
      <c r="AF68" s="59"/>
    </row>
    <row r="69" spans="1:32">
      <c r="A69" s="58"/>
      <c r="B69" s="47"/>
      <c r="C69" s="59"/>
      <c r="D69" s="59"/>
      <c r="E69" s="59"/>
      <c r="F69" s="59"/>
      <c r="G69" s="131"/>
      <c r="H69" s="131"/>
      <c r="I69" s="131"/>
      <c r="J69" s="131"/>
      <c r="K69" s="131"/>
      <c r="L69" s="131"/>
      <c r="M69" s="131"/>
      <c r="N69" s="131"/>
      <c r="O69" s="131"/>
      <c r="P69" s="131"/>
      <c r="Q69" s="131"/>
      <c r="R69" s="131"/>
      <c r="S69" s="131"/>
      <c r="T69" s="131"/>
      <c r="U69" s="131"/>
      <c r="V69" s="131"/>
      <c r="W69" s="131"/>
      <c r="X69" s="131"/>
      <c r="Y69" s="131"/>
      <c r="Z69" s="131"/>
      <c r="AA69" s="131"/>
      <c r="AB69" s="132"/>
      <c r="AC69" s="132"/>
      <c r="AD69" s="132"/>
      <c r="AE69" s="132"/>
      <c r="AF69" s="59"/>
    </row>
    <row r="70" spans="1:32">
      <c r="A70" s="58"/>
      <c r="B70" s="47"/>
      <c r="C70" s="59"/>
      <c r="D70" s="59"/>
      <c r="E70" s="59"/>
      <c r="F70" s="59"/>
      <c r="G70" s="131"/>
      <c r="H70" s="131"/>
      <c r="I70" s="131"/>
      <c r="J70" s="131"/>
      <c r="K70" s="131"/>
      <c r="L70" s="131"/>
      <c r="M70" s="131"/>
      <c r="N70" s="131"/>
      <c r="O70" s="131"/>
      <c r="P70" s="131"/>
      <c r="Q70" s="131"/>
      <c r="R70" s="131"/>
      <c r="S70" s="131"/>
      <c r="T70" s="131"/>
      <c r="U70" s="131"/>
      <c r="V70" s="131"/>
      <c r="W70" s="131"/>
      <c r="X70" s="131"/>
      <c r="Y70" s="131"/>
      <c r="Z70" s="131"/>
      <c r="AA70" s="131"/>
      <c r="AB70" s="132"/>
      <c r="AC70" s="132"/>
      <c r="AD70" s="132"/>
      <c r="AE70" s="132"/>
      <c r="AF70" s="59"/>
    </row>
    <row r="71" spans="1:32">
      <c r="A71" s="58"/>
      <c r="B71" s="47"/>
      <c r="C71" s="59"/>
      <c r="D71" s="59"/>
      <c r="E71" s="59"/>
      <c r="F71" s="59"/>
      <c r="G71" s="131"/>
      <c r="H71" s="131"/>
      <c r="I71" s="131"/>
      <c r="J71" s="131"/>
      <c r="K71" s="131"/>
      <c r="L71" s="131"/>
      <c r="M71" s="131"/>
      <c r="N71" s="131"/>
      <c r="O71" s="131"/>
      <c r="P71" s="131"/>
      <c r="Q71" s="131"/>
      <c r="R71" s="131"/>
      <c r="S71" s="131"/>
      <c r="T71" s="131"/>
      <c r="U71" s="131"/>
      <c r="V71" s="131"/>
      <c r="W71" s="131"/>
      <c r="X71" s="131"/>
      <c r="Y71" s="131"/>
      <c r="Z71" s="131"/>
      <c r="AA71" s="131"/>
      <c r="AB71" s="132"/>
      <c r="AC71" s="132"/>
      <c r="AD71" s="132"/>
      <c r="AE71" s="132"/>
      <c r="AF71" s="59"/>
    </row>
    <row r="72" spans="1:32">
      <c r="A72" s="58"/>
      <c r="B72" s="47"/>
      <c r="C72" s="59"/>
      <c r="D72" s="59"/>
      <c r="E72" s="59"/>
      <c r="F72" s="59"/>
      <c r="G72" s="131"/>
      <c r="H72" s="131"/>
      <c r="I72" s="131"/>
      <c r="J72" s="131"/>
      <c r="K72" s="131"/>
      <c r="L72" s="131"/>
      <c r="M72" s="131"/>
      <c r="N72" s="131"/>
      <c r="O72" s="131"/>
      <c r="P72" s="131"/>
      <c r="Q72" s="131"/>
      <c r="R72" s="131"/>
      <c r="S72" s="131"/>
      <c r="T72" s="131"/>
      <c r="U72" s="131"/>
      <c r="V72" s="131"/>
      <c r="W72" s="131"/>
      <c r="X72" s="131"/>
      <c r="Y72" s="131"/>
      <c r="Z72" s="131"/>
      <c r="AA72" s="131"/>
      <c r="AB72" s="132"/>
      <c r="AC72" s="132"/>
      <c r="AD72" s="132"/>
      <c r="AE72" s="132"/>
      <c r="AF72" s="59"/>
    </row>
    <row r="73" spans="1:32">
      <c r="A73" s="58"/>
      <c r="B73" s="47"/>
      <c r="C73" s="59"/>
      <c r="D73" s="59"/>
      <c r="E73" s="59"/>
      <c r="F73" s="59"/>
      <c r="G73" s="131"/>
      <c r="H73" s="131"/>
      <c r="I73" s="131"/>
      <c r="J73" s="131"/>
      <c r="K73" s="131"/>
      <c r="L73" s="131"/>
      <c r="M73" s="131"/>
      <c r="N73" s="131"/>
      <c r="O73" s="131"/>
      <c r="P73" s="131"/>
      <c r="Q73" s="131"/>
      <c r="R73" s="131"/>
      <c r="S73" s="131"/>
      <c r="T73" s="131"/>
      <c r="U73" s="131"/>
      <c r="V73" s="131"/>
      <c r="W73" s="131"/>
      <c r="X73" s="131"/>
      <c r="Y73" s="131"/>
      <c r="Z73" s="131"/>
      <c r="AA73" s="131"/>
      <c r="AB73" s="132"/>
      <c r="AC73" s="132"/>
      <c r="AD73" s="132"/>
      <c r="AE73" s="132"/>
      <c r="AF73" s="59"/>
    </row>
    <row r="74" spans="1:32">
      <c r="A74" s="58"/>
      <c r="B74" s="47"/>
      <c r="C74" s="59"/>
      <c r="D74" s="59"/>
      <c r="E74" s="59"/>
      <c r="F74" s="59"/>
      <c r="G74" s="131"/>
      <c r="H74" s="131"/>
      <c r="I74" s="131"/>
      <c r="J74" s="131"/>
      <c r="K74" s="131"/>
      <c r="L74" s="131"/>
      <c r="M74" s="131"/>
      <c r="N74" s="131"/>
      <c r="O74" s="131"/>
      <c r="P74" s="131"/>
      <c r="Q74" s="131"/>
      <c r="R74" s="131"/>
      <c r="S74" s="131"/>
      <c r="T74" s="131"/>
      <c r="U74" s="131"/>
      <c r="V74" s="131"/>
      <c r="W74" s="131"/>
      <c r="X74" s="131"/>
      <c r="Y74" s="131"/>
      <c r="Z74" s="131"/>
      <c r="AA74" s="131"/>
      <c r="AB74" s="132"/>
      <c r="AC74" s="132"/>
      <c r="AD74" s="132"/>
      <c r="AE74" s="132"/>
      <c r="AF74" s="59"/>
    </row>
    <row r="75" spans="1:32">
      <c r="A75" s="58"/>
      <c r="B75" s="47"/>
      <c r="C75" s="59"/>
      <c r="D75" s="59"/>
      <c r="E75" s="59"/>
      <c r="F75" s="59"/>
      <c r="G75" s="131"/>
      <c r="H75" s="131"/>
      <c r="I75" s="131"/>
      <c r="J75" s="131"/>
      <c r="K75" s="131"/>
      <c r="L75" s="131"/>
      <c r="M75" s="131"/>
      <c r="N75" s="131"/>
      <c r="O75" s="131"/>
      <c r="P75" s="131"/>
      <c r="Q75" s="131"/>
      <c r="R75" s="131"/>
      <c r="S75" s="131"/>
      <c r="T75" s="131"/>
      <c r="U75" s="131"/>
      <c r="V75" s="131"/>
      <c r="W75" s="131"/>
      <c r="X75" s="131"/>
      <c r="Y75" s="131"/>
      <c r="Z75" s="131"/>
      <c r="AA75" s="131"/>
      <c r="AB75" s="132"/>
      <c r="AC75" s="132"/>
      <c r="AD75" s="132"/>
      <c r="AE75" s="132"/>
      <c r="AF75" s="59"/>
    </row>
    <row r="76" spans="1:32">
      <c r="A76" s="58"/>
      <c r="B76" s="47"/>
      <c r="C76" s="59"/>
      <c r="D76" s="59"/>
      <c r="E76" s="59"/>
      <c r="F76" s="59"/>
      <c r="G76" s="131"/>
      <c r="H76" s="131"/>
      <c r="I76" s="131"/>
      <c r="J76" s="131"/>
      <c r="K76" s="131"/>
      <c r="L76" s="131"/>
      <c r="M76" s="131"/>
      <c r="N76" s="131"/>
      <c r="O76" s="131"/>
      <c r="P76" s="131"/>
      <c r="Q76" s="131"/>
      <c r="R76" s="131"/>
      <c r="S76" s="131"/>
      <c r="T76" s="131"/>
      <c r="U76" s="131"/>
      <c r="V76" s="131"/>
      <c r="W76" s="131"/>
      <c r="X76" s="131"/>
      <c r="Y76" s="131"/>
      <c r="Z76" s="131"/>
      <c r="AA76" s="131"/>
      <c r="AB76" s="132"/>
      <c r="AC76" s="132"/>
      <c r="AD76" s="132"/>
      <c r="AE76" s="132"/>
      <c r="AF76" s="59"/>
    </row>
    <row r="77" spans="1:32">
      <c r="A77" s="58"/>
      <c r="B77" s="47"/>
      <c r="C77" s="59"/>
      <c r="D77" s="59"/>
      <c r="E77" s="59"/>
      <c r="F77" s="59"/>
      <c r="G77" s="131"/>
      <c r="H77" s="131"/>
      <c r="I77" s="131"/>
      <c r="J77" s="131"/>
      <c r="K77" s="131"/>
      <c r="L77" s="131"/>
      <c r="M77" s="131"/>
      <c r="N77" s="131"/>
      <c r="O77" s="131"/>
      <c r="P77" s="131"/>
      <c r="Q77" s="131"/>
      <c r="R77" s="131"/>
      <c r="S77" s="131"/>
      <c r="T77" s="131"/>
      <c r="U77" s="131"/>
      <c r="V77" s="131"/>
      <c r="W77" s="131"/>
      <c r="X77" s="131"/>
      <c r="Y77" s="131"/>
      <c r="Z77" s="131"/>
      <c r="AA77" s="131"/>
      <c r="AB77" s="132"/>
      <c r="AC77" s="132"/>
      <c r="AD77" s="132"/>
      <c r="AE77" s="132"/>
      <c r="AF77" s="59"/>
    </row>
    <row r="78" spans="1:32">
      <c r="A78" s="50" t="s">
        <v>43</v>
      </c>
      <c r="B78" s="51" t="s">
        <v>120</v>
      </c>
      <c r="C78" s="59"/>
      <c r="D78" s="59"/>
      <c r="E78" s="59"/>
      <c r="F78" s="59"/>
      <c r="G78" s="60"/>
      <c r="H78" s="60"/>
      <c r="I78" s="60"/>
      <c r="J78" s="60"/>
      <c r="K78" s="60"/>
      <c r="L78" s="60"/>
      <c r="M78" s="60"/>
      <c r="N78" s="60"/>
      <c r="O78" s="60"/>
      <c r="P78" s="60"/>
      <c r="Q78" s="60"/>
      <c r="R78" s="60"/>
      <c r="S78" s="60"/>
      <c r="T78" s="60"/>
      <c r="U78" s="60"/>
      <c r="V78" s="60"/>
      <c r="W78" s="60"/>
      <c r="X78" s="60"/>
      <c r="Y78" s="60"/>
      <c r="Z78" s="60"/>
      <c r="AA78" s="60"/>
      <c r="AB78" s="66"/>
      <c r="AC78" s="66"/>
      <c r="AD78" s="66"/>
      <c r="AE78" s="66"/>
      <c r="AF78" s="66"/>
    </row>
    <row r="79" spans="1:32">
      <c r="A79" s="58" t="s">
        <v>13</v>
      </c>
      <c r="B79" s="47" t="s">
        <v>40</v>
      </c>
      <c r="C79" s="59"/>
      <c r="D79" s="59"/>
      <c r="E79" s="59"/>
      <c r="F79" s="59"/>
      <c r="G79" s="60"/>
      <c r="H79" s="60"/>
      <c r="I79" s="60"/>
      <c r="J79" s="60"/>
      <c r="K79" s="60"/>
      <c r="L79" s="60"/>
      <c r="M79" s="60"/>
      <c r="N79" s="60"/>
      <c r="O79" s="60"/>
      <c r="P79" s="60"/>
      <c r="Q79" s="60"/>
      <c r="R79" s="60"/>
      <c r="S79" s="60"/>
      <c r="T79" s="60"/>
      <c r="U79" s="60"/>
      <c r="V79" s="60"/>
      <c r="W79" s="60"/>
      <c r="X79" s="60"/>
      <c r="Y79" s="60"/>
      <c r="Z79" s="60"/>
      <c r="AA79" s="60"/>
      <c r="AB79" s="66"/>
      <c r="AC79" s="66"/>
      <c r="AD79" s="66"/>
      <c r="AE79" s="66"/>
      <c r="AF79" s="66"/>
    </row>
    <row r="80" spans="1:32">
      <c r="A80" s="58" t="s">
        <v>2</v>
      </c>
      <c r="B80" s="49" t="s">
        <v>42</v>
      </c>
      <c r="C80" s="59"/>
      <c r="D80" s="59"/>
      <c r="E80" s="59"/>
      <c r="F80" s="59"/>
      <c r="G80" s="60"/>
      <c r="H80" s="60"/>
      <c r="I80" s="60"/>
      <c r="J80" s="60"/>
      <c r="K80" s="60"/>
      <c r="L80" s="60"/>
      <c r="M80" s="60"/>
      <c r="N80" s="60"/>
      <c r="O80" s="60"/>
      <c r="P80" s="60"/>
      <c r="Q80" s="60"/>
      <c r="R80" s="60"/>
      <c r="S80" s="60"/>
      <c r="T80" s="60"/>
      <c r="U80" s="60"/>
      <c r="V80" s="60"/>
      <c r="W80" s="60"/>
      <c r="X80" s="60"/>
      <c r="Y80" s="60"/>
      <c r="Z80" s="60"/>
      <c r="AA80" s="60"/>
      <c r="AB80" s="66"/>
      <c r="AC80" s="66"/>
      <c r="AD80" s="66"/>
      <c r="AE80" s="66"/>
      <c r="AF80" s="66"/>
    </row>
    <row r="81" spans="1:32" s="3" customFormat="1" ht="19.5">
      <c r="A81" s="58" t="s">
        <v>0</v>
      </c>
      <c r="B81" s="47" t="s">
        <v>40</v>
      </c>
      <c r="C81" s="56"/>
      <c r="D81" s="56"/>
      <c r="E81" s="56"/>
      <c r="F81" s="56"/>
      <c r="G81" s="57"/>
      <c r="H81" s="57"/>
      <c r="I81" s="57"/>
      <c r="J81" s="57"/>
      <c r="K81" s="57"/>
      <c r="L81" s="57"/>
      <c r="M81" s="57"/>
      <c r="N81" s="57"/>
      <c r="O81" s="57"/>
      <c r="P81" s="57"/>
      <c r="Q81" s="57"/>
      <c r="R81" s="57"/>
      <c r="S81" s="57"/>
      <c r="T81" s="57"/>
      <c r="U81" s="57"/>
      <c r="V81" s="57"/>
      <c r="W81" s="57"/>
      <c r="X81" s="57"/>
      <c r="Y81" s="57"/>
      <c r="Z81" s="57"/>
      <c r="AA81" s="57"/>
      <c r="AB81" s="73"/>
      <c r="AC81" s="73"/>
      <c r="AD81" s="73"/>
      <c r="AE81" s="73"/>
      <c r="AF81" s="73"/>
    </row>
    <row r="82" spans="1:32">
      <c r="A82" s="58" t="s">
        <v>2</v>
      </c>
      <c r="B82" s="49" t="s">
        <v>42</v>
      </c>
      <c r="C82" s="59"/>
      <c r="D82" s="59"/>
      <c r="E82" s="59"/>
      <c r="F82" s="59"/>
      <c r="G82" s="60"/>
      <c r="H82" s="60"/>
      <c r="I82" s="60"/>
      <c r="J82" s="60"/>
      <c r="K82" s="60"/>
      <c r="L82" s="60"/>
      <c r="M82" s="60"/>
      <c r="N82" s="60"/>
      <c r="O82" s="60"/>
      <c r="P82" s="60"/>
      <c r="Q82" s="60"/>
      <c r="R82" s="60"/>
      <c r="S82" s="60"/>
      <c r="T82" s="60"/>
      <c r="U82" s="60"/>
      <c r="V82" s="60"/>
      <c r="W82" s="60"/>
      <c r="X82" s="60"/>
      <c r="Y82" s="60"/>
      <c r="Z82" s="60"/>
      <c r="AA82" s="60"/>
      <c r="AB82" s="66"/>
      <c r="AC82" s="66"/>
      <c r="AD82" s="66"/>
      <c r="AE82" s="66"/>
      <c r="AF82" s="66"/>
    </row>
    <row r="83" spans="1:32">
      <c r="A83" s="58"/>
      <c r="B83" s="49"/>
      <c r="C83" s="59"/>
      <c r="D83" s="59"/>
      <c r="E83" s="59"/>
      <c r="F83" s="59"/>
      <c r="G83" s="60"/>
      <c r="H83" s="60"/>
      <c r="I83" s="60"/>
      <c r="J83" s="60"/>
      <c r="K83" s="60"/>
      <c r="L83" s="60"/>
      <c r="M83" s="60"/>
      <c r="N83" s="60"/>
      <c r="O83" s="60"/>
      <c r="P83" s="60"/>
      <c r="Q83" s="60"/>
      <c r="R83" s="60"/>
      <c r="S83" s="60"/>
      <c r="T83" s="60"/>
      <c r="U83" s="60"/>
      <c r="V83" s="60"/>
      <c r="W83" s="60"/>
      <c r="X83" s="60"/>
      <c r="Y83" s="60"/>
      <c r="Z83" s="60"/>
      <c r="AA83" s="60"/>
      <c r="AB83" s="66"/>
      <c r="AC83" s="66"/>
      <c r="AD83" s="66"/>
      <c r="AE83" s="66"/>
      <c r="AF83" s="66"/>
    </row>
    <row r="84" spans="1:32" s="3" customFormat="1" ht="19.5">
      <c r="A84" s="54"/>
      <c r="B84" s="55"/>
      <c r="C84" s="56"/>
      <c r="D84" s="56"/>
      <c r="E84" s="56"/>
      <c r="F84" s="56"/>
      <c r="G84" s="57"/>
      <c r="H84" s="57"/>
      <c r="I84" s="57"/>
      <c r="J84" s="57"/>
      <c r="K84" s="57"/>
      <c r="L84" s="57"/>
      <c r="M84" s="57"/>
      <c r="N84" s="57"/>
      <c r="O84" s="57"/>
      <c r="P84" s="57"/>
      <c r="Q84" s="57"/>
      <c r="R84" s="57"/>
      <c r="S84" s="57"/>
      <c r="T84" s="57"/>
      <c r="U84" s="57"/>
      <c r="V84" s="57"/>
      <c r="W84" s="57"/>
      <c r="X84" s="57"/>
      <c r="Y84" s="57"/>
      <c r="Z84" s="57"/>
      <c r="AA84" s="57"/>
      <c r="AB84" s="73"/>
      <c r="AC84" s="73"/>
      <c r="AD84" s="73"/>
      <c r="AE84" s="73"/>
      <c r="AF84" s="73"/>
    </row>
    <row r="85" spans="1:32">
      <c r="A85" s="50" t="s">
        <v>121</v>
      </c>
      <c r="B85" s="51" t="s">
        <v>120</v>
      </c>
      <c r="C85" s="59"/>
      <c r="D85" s="59"/>
      <c r="E85" s="59"/>
      <c r="F85" s="59"/>
      <c r="G85" s="60"/>
      <c r="H85" s="60"/>
      <c r="I85" s="60"/>
      <c r="J85" s="60"/>
      <c r="K85" s="60"/>
      <c r="L85" s="60"/>
      <c r="M85" s="60"/>
      <c r="N85" s="60"/>
      <c r="O85" s="60"/>
      <c r="P85" s="60"/>
      <c r="Q85" s="60"/>
      <c r="R85" s="60"/>
      <c r="S85" s="60"/>
      <c r="T85" s="60"/>
      <c r="U85" s="60"/>
      <c r="V85" s="60"/>
      <c r="W85" s="60"/>
      <c r="X85" s="60"/>
      <c r="Y85" s="60"/>
      <c r="Z85" s="60"/>
      <c r="AA85" s="60"/>
      <c r="AB85" s="66"/>
      <c r="AC85" s="66"/>
      <c r="AD85" s="66"/>
      <c r="AE85" s="66"/>
      <c r="AF85" s="66"/>
    </row>
    <row r="86" spans="1:32">
      <c r="A86" s="58" t="s">
        <v>13</v>
      </c>
      <c r="B86" s="47" t="s">
        <v>40</v>
      </c>
      <c r="C86" s="59"/>
      <c r="D86" s="59"/>
      <c r="E86" s="59"/>
      <c r="F86" s="59"/>
      <c r="G86" s="60"/>
      <c r="H86" s="60"/>
      <c r="I86" s="60"/>
      <c r="J86" s="60"/>
      <c r="K86" s="60"/>
      <c r="L86" s="60"/>
      <c r="M86" s="60"/>
      <c r="N86" s="60"/>
      <c r="O86" s="60"/>
      <c r="P86" s="60"/>
      <c r="Q86" s="60"/>
      <c r="R86" s="60"/>
      <c r="S86" s="60"/>
      <c r="T86" s="60"/>
      <c r="U86" s="60"/>
      <c r="V86" s="60"/>
      <c r="W86" s="60"/>
      <c r="X86" s="60"/>
      <c r="Y86" s="60"/>
      <c r="Z86" s="60"/>
      <c r="AA86" s="60"/>
      <c r="AB86" s="66"/>
      <c r="AC86" s="66"/>
      <c r="AD86" s="66"/>
      <c r="AE86" s="66"/>
      <c r="AF86" s="66"/>
    </row>
    <row r="87" spans="1:32" s="3" customFormat="1" ht="19.5">
      <c r="A87" s="58" t="s">
        <v>2</v>
      </c>
      <c r="B87" s="49" t="s">
        <v>42</v>
      </c>
      <c r="C87" s="56"/>
      <c r="D87" s="56"/>
      <c r="E87" s="56"/>
      <c r="F87" s="56"/>
      <c r="G87" s="57"/>
      <c r="H87" s="57"/>
      <c r="I87" s="57"/>
      <c r="J87" s="57"/>
      <c r="K87" s="57"/>
      <c r="L87" s="57"/>
      <c r="M87" s="57"/>
      <c r="N87" s="57"/>
      <c r="O87" s="57"/>
      <c r="P87" s="57"/>
      <c r="Q87" s="57"/>
      <c r="R87" s="57"/>
      <c r="S87" s="57"/>
      <c r="T87" s="57"/>
      <c r="U87" s="57"/>
      <c r="V87" s="57"/>
      <c r="W87" s="57"/>
      <c r="X87" s="57"/>
      <c r="Y87" s="57"/>
      <c r="Z87" s="57"/>
      <c r="AA87" s="57"/>
      <c r="AB87" s="73"/>
      <c r="AC87" s="73"/>
      <c r="AD87" s="73"/>
      <c r="AE87" s="73"/>
      <c r="AF87" s="73"/>
    </row>
    <row r="88" spans="1:32">
      <c r="A88" s="58" t="s">
        <v>0</v>
      </c>
      <c r="B88" s="47" t="s">
        <v>40</v>
      </c>
      <c r="C88" s="59"/>
      <c r="D88" s="59"/>
      <c r="E88" s="59"/>
      <c r="F88" s="59"/>
      <c r="G88" s="60"/>
      <c r="H88" s="60"/>
      <c r="I88" s="60"/>
      <c r="J88" s="60"/>
      <c r="K88" s="60"/>
      <c r="L88" s="60"/>
      <c r="M88" s="60"/>
      <c r="N88" s="60"/>
      <c r="O88" s="60"/>
      <c r="P88" s="60"/>
      <c r="Q88" s="60"/>
      <c r="R88" s="60"/>
      <c r="S88" s="60"/>
      <c r="T88" s="60"/>
      <c r="U88" s="60"/>
      <c r="V88" s="60"/>
      <c r="W88" s="60"/>
      <c r="X88" s="60"/>
      <c r="Y88" s="60"/>
      <c r="Z88" s="60"/>
      <c r="AA88" s="60"/>
      <c r="AB88" s="66"/>
      <c r="AC88" s="66"/>
      <c r="AD88" s="66"/>
      <c r="AE88" s="66"/>
      <c r="AF88" s="66"/>
    </row>
    <row r="89" spans="1:32">
      <c r="A89" s="58" t="s">
        <v>2</v>
      </c>
      <c r="B89" s="49" t="s">
        <v>42</v>
      </c>
      <c r="C89" s="59"/>
      <c r="D89" s="59"/>
      <c r="E89" s="59"/>
      <c r="F89" s="59"/>
      <c r="G89" s="60"/>
      <c r="H89" s="60"/>
      <c r="I89" s="60"/>
      <c r="J89" s="60"/>
      <c r="K89" s="60"/>
      <c r="L89" s="60"/>
      <c r="M89" s="60"/>
      <c r="N89" s="60"/>
      <c r="O89" s="60"/>
      <c r="P89" s="60"/>
      <c r="Q89" s="60"/>
      <c r="R89" s="60"/>
      <c r="S89" s="60"/>
      <c r="T89" s="60"/>
      <c r="U89" s="60"/>
      <c r="V89" s="60"/>
      <c r="W89" s="60"/>
      <c r="X89" s="60"/>
      <c r="Y89" s="60"/>
      <c r="Z89" s="60"/>
      <c r="AA89" s="60"/>
      <c r="AB89" s="66"/>
      <c r="AC89" s="66"/>
      <c r="AD89" s="66"/>
      <c r="AE89" s="66"/>
      <c r="AF89" s="66"/>
    </row>
    <row r="90" spans="1:32">
      <c r="A90" s="50"/>
      <c r="B90" s="51"/>
      <c r="C90" s="59"/>
      <c r="D90" s="59"/>
      <c r="E90" s="59"/>
      <c r="F90" s="59"/>
      <c r="G90" s="60"/>
      <c r="H90" s="60"/>
      <c r="I90" s="60"/>
      <c r="J90" s="60"/>
      <c r="K90" s="60"/>
      <c r="L90" s="60"/>
      <c r="M90" s="60"/>
      <c r="N90" s="60"/>
      <c r="O90" s="60"/>
      <c r="P90" s="60"/>
      <c r="Q90" s="60"/>
      <c r="R90" s="60"/>
      <c r="S90" s="60"/>
      <c r="T90" s="60"/>
      <c r="U90" s="60"/>
      <c r="V90" s="60"/>
      <c r="W90" s="60"/>
      <c r="X90" s="60"/>
      <c r="Y90" s="60"/>
      <c r="Z90" s="60"/>
      <c r="AA90" s="60"/>
      <c r="AB90" s="66"/>
      <c r="AC90" s="66"/>
      <c r="AD90" s="66"/>
      <c r="AE90" s="66"/>
      <c r="AF90" s="66"/>
    </row>
    <row r="91" spans="1:32" s="3" customFormat="1" ht="19.5">
      <c r="A91" s="54"/>
      <c r="B91" s="55"/>
      <c r="C91" s="56"/>
      <c r="D91" s="56"/>
      <c r="E91" s="56"/>
      <c r="F91" s="56"/>
      <c r="G91" s="57"/>
      <c r="H91" s="57"/>
      <c r="I91" s="57"/>
      <c r="J91" s="57"/>
      <c r="K91" s="57"/>
      <c r="L91" s="57"/>
      <c r="M91" s="57"/>
      <c r="N91" s="57"/>
      <c r="O91" s="57"/>
      <c r="P91" s="57"/>
      <c r="Q91" s="57"/>
      <c r="R91" s="57"/>
      <c r="S91" s="57"/>
      <c r="T91" s="57"/>
      <c r="U91" s="57"/>
      <c r="V91" s="57"/>
      <c r="W91" s="57"/>
      <c r="X91" s="57"/>
      <c r="Y91" s="57"/>
      <c r="Z91" s="57"/>
      <c r="AA91" s="57"/>
      <c r="AB91" s="73"/>
      <c r="AC91" s="73"/>
      <c r="AD91" s="73"/>
      <c r="AE91" s="73"/>
      <c r="AF91" s="73"/>
    </row>
    <row r="92" spans="1:32">
      <c r="A92" s="50"/>
      <c r="B92" s="43"/>
      <c r="C92" s="59"/>
      <c r="D92" s="59"/>
      <c r="E92" s="59"/>
      <c r="F92" s="59"/>
      <c r="G92" s="60"/>
      <c r="H92" s="60"/>
      <c r="I92" s="60"/>
      <c r="J92" s="60"/>
      <c r="K92" s="60"/>
      <c r="L92" s="60"/>
      <c r="M92" s="60"/>
      <c r="N92" s="60"/>
      <c r="O92" s="60"/>
      <c r="P92" s="60"/>
      <c r="Q92" s="60"/>
      <c r="R92" s="60"/>
      <c r="S92" s="60"/>
      <c r="T92" s="60"/>
      <c r="U92" s="60"/>
      <c r="V92" s="60"/>
      <c r="W92" s="60"/>
      <c r="X92" s="60"/>
      <c r="Y92" s="60"/>
      <c r="Z92" s="60"/>
      <c r="AA92" s="60"/>
      <c r="AB92" s="66"/>
      <c r="AC92" s="66"/>
      <c r="AD92" s="66"/>
      <c r="AE92" s="66"/>
      <c r="AF92" s="66"/>
    </row>
    <row r="93" spans="1:32">
      <c r="A93" s="61"/>
      <c r="B93" s="62"/>
      <c r="C93" s="63"/>
      <c r="D93" s="63"/>
      <c r="E93" s="63"/>
      <c r="F93" s="63"/>
      <c r="G93" s="64"/>
      <c r="H93" s="64"/>
      <c r="I93" s="64"/>
      <c r="J93" s="64"/>
      <c r="K93" s="64"/>
      <c r="L93" s="64"/>
      <c r="M93" s="64"/>
      <c r="N93" s="64"/>
      <c r="O93" s="64"/>
      <c r="P93" s="64"/>
      <c r="Q93" s="64"/>
      <c r="R93" s="64"/>
      <c r="S93" s="64"/>
      <c r="T93" s="64"/>
      <c r="U93" s="64"/>
      <c r="V93" s="64"/>
      <c r="W93" s="64"/>
      <c r="X93" s="64"/>
      <c r="Y93" s="64"/>
      <c r="Z93" s="64"/>
      <c r="AA93" s="64"/>
      <c r="AB93" s="74"/>
      <c r="AC93" s="74"/>
      <c r="AD93" s="74"/>
      <c r="AE93" s="74"/>
      <c r="AF93" s="74"/>
    </row>
    <row r="94" spans="1:32">
      <c r="A94" s="15"/>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32">
      <c r="A95" s="15"/>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32">
      <c r="A96" s="15"/>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c r="A97" s="15"/>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c r="A98" s="15"/>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c r="A99" s="15"/>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c r="A100" s="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c r="A101" s="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c r="A102" s="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c r="A103" s="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c r="A104" s="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c r="A105" s="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c r="A106" s="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c r="A107" s="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c r="A108" s="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c r="A109" s="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c r="A110" s="1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c r="A111" s="1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c r="A112" s="1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c r="A113" s="1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c r="A114" s="1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c r="A115" s="1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c r="A116" s="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c r="A117" s="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c r="A118" s="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c r="A119" s="1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c r="A120" s="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c r="A121" s="1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c r="A122" s="1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c r="A123" s="1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c r="A124" s="1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c r="A125" s="1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c r="A126" s="1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c r="A127" s="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c r="A128" s="1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c r="A129" s="1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c r="A130" s="1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c r="A131" s="1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c r="A132" s="1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c r="A133" s="1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c r="A134" s="1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c r="A135" s="1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c r="A136" s="1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c r="A137" s="1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c r="A138" s="1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c r="A139" s="1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c r="A140" s="1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c r="A141" s="1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c r="A142" s="1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c r="A143" s="1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c r="A144" s="1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c r="A145" s="1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c r="A146" s="1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c r="A147" s="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c r="A148" s="1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c r="A149" s="1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c r="A150" s="1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c r="A151" s="1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c r="A152" s="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c r="A153" s="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c r="A154" s="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c r="A155" s="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c r="A156" s="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c r="A157" s="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c r="A158" s="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c r="A159" s="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c r="A160" s="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c r="A161" s="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c r="A162" s="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c r="A163" s="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c r="A164" s="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c r="A165" s="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c r="A166" s="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c r="A167" s="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c r="A168" s="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c r="A169" s="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c r="A170" s="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c r="A171" s="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c r="A172" s="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c r="A173" s="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c r="A174" s="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c r="A175" s="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c r="A176" s="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c r="A177" s="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c r="A178" s="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c r="A179" s="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c r="A180" s="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c r="A181" s="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c r="A182" s="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c r="A183" s="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c r="A184" s="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c r="A185" s="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c r="A186" s="1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c r="A187" s="1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c r="A188" s="1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c r="A189" s="1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c r="A190" s="1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c r="A191" s="1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c r="A192" s="1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c r="A193" s="1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c r="A194" s="1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c r="A195" s="1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c r="A196" s="1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c r="A197" s="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c r="A198" s="1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c r="A199" s="1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c r="A200" s="1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c r="A201" s="1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c r="A202" s="1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c r="A203" s="1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c r="A204" s="1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c r="A205" s="1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c r="A206" s="1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c r="A207" s="1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c r="A208" s="1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c r="A209" s="1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c r="A210" s="1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c r="A211" s="1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c r="A212" s="1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c r="A213" s="1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c r="A214" s="1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c r="A215" s="1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c r="A216" s="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c r="A217" s="1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c r="A218" s="1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c r="A219" s="1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c r="A220" s="1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c r="A221" s="1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c r="A222" s="1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c r="A223" s="1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c r="A224" s="1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c r="A225" s="1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c r="A226" s="1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c r="A227" s="1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c r="A228" s="1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c r="A229" s="1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c r="A230" s="1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c r="A231" s="1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c r="A232" s="1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c r="A233" s="1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c r="A234" s="1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c r="A235" s="1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c r="A236" s="1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c r="A237" s="1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c r="A238" s="1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c r="A239" s="1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c r="A240" s="1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c r="A241" s="1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c r="A242" s="1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c r="A243" s="1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c r="A244" s="1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c r="A245" s="1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c r="A246" s="1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c r="A247" s="1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c r="A248" s="1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c r="A249" s="1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c r="A250" s="1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c r="A251" s="1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c r="A256" s="1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c r="A257" s="1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c r="A258" s="1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c r="A259" s="1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c r="A260" s="1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c r="A261" s="1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c r="A262" s="1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c r="A263" s="1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c r="A264" s="1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c r="A265" s="1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c r="A266" s="1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c r="A267" s="1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c r="A268" s="1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c r="A269" s="1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c r="A270" s="1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c r="A271" s="1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c r="A272" s="1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c r="A273" s="1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c r="A274" s="1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c r="A275" s="1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c r="A276" s="1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c r="A277" s="1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c r="A278" s="1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c r="A279" s="1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c r="A280" s="1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c r="A281" s="1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c r="A282" s="1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c r="A283" s="1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c r="A284" s="1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c r="A285" s="1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c r="A286" s="1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c r="A287" s="1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c r="A288" s="1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c r="A289" s="1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c r="A290" s="1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c r="A291" s="1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c r="A292" s="1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c r="A293" s="1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c r="A294" s="1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c r="A295" s="1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c r="A296" s="1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c r="A297" s="15"/>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c r="A298" s="15"/>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c r="A299" s="15"/>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c r="A300" s="15"/>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c r="A301" s="15"/>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c r="A302" s="15"/>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c r="A303" s="15"/>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c r="A304" s="15"/>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c r="A305" s="15"/>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c r="A306" s="15"/>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c r="A307" s="15"/>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c r="A308" s="15"/>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c r="A309" s="15"/>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c r="A310" s="15"/>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c r="A311" s="15"/>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c r="A312" s="15"/>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c r="A313" s="15"/>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c r="A314" s="15"/>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c r="A315" s="15"/>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c r="A316" s="15"/>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sheetData>
  <mergeCells count="45">
    <mergeCell ref="E6:E11"/>
    <mergeCell ref="Z7:AB7"/>
    <mergeCell ref="F8:F11"/>
    <mergeCell ref="A2:AF2"/>
    <mergeCell ref="F6:J7"/>
    <mergeCell ref="W6:AB6"/>
    <mergeCell ref="W8:Y8"/>
    <mergeCell ref="T9:T11"/>
    <mergeCell ref="W9:W11"/>
    <mergeCell ref="AC6:AE7"/>
    <mergeCell ref="AF6:AF11"/>
    <mergeCell ref="W7:Y7"/>
    <mergeCell ref="A3:AF3"/>
    <mergeCell ref="A4:AF4"/>
    <mergeCell ref="A5:AF5"/>
    <mergeCell ref="A6:A11"/>
    <mergeCell ref="B6:B11"/>
    <mergeCell ref="C6:C11"/>
    <mergeCell ref="D6:D11"/>
    <mergeCell ref="X9:X11"/>
    <mergeCell ref="AE9:AE11"/>
    <mergeCell ref="G8:J8"/>
    <mergeCell ref="K8:M8"/>
    <mergeCell ref="N8:P8"/>
    <mergeCell ref="Q8:S8"/>
    <mergeCell ref="T8:V8"/>
    <mergeCell ref="Z8:AB8"/>
    <mergeCell ref="G9:G11"/>
    <mergeCell ref="K9:K11"/>
    <mergeCell ref="AC9:AC11"/>
    <mergeCell ref="AD9:AD11"/>
    <mergeCell ref="K6:V7"/>
    <mergeCell ref="H9:I10"/>
    <mergeCell ref="L9:M10"/>
    <mergeCell ref="Y9:Y11"/>
    <mergeCell ref="Z9:Z11"/>
    <mergeCell ref="AA9:AA11"/>
    <mergeCell ref="AC8:AE8"/>
    <mergeCell ref="O9:P10"/>
    <mergeCell ref="N9:N11"/>
    <mergeCell ref="Q9:Q11"/>
    <mergeCell ref="J9:J11"/>
    <mergeCell ref="AB9:AB11"/>
    <mergeCell ref="R9:S10"/>
    <mergeCell ref="U9:V10"/>
  </mergeCells>
  <pageMargins left="0.23622047244094499" right="0.23622047244094499" top="0.51" bottom="0.52" header="0.31496062992126" footer="0.31496062992126"/>
  <pageSetup paperSize="9" scale="41" fitToHeight="0" orientation="landscape" useFirstPageNumber="1" r:id="rId1"/>
  <headerFooter scaleWithDoc="0"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48"/>
  <sheetViews>
    <sheetView topLeftCell="A17" zoomScale="60" zoomScaleNormal="60" workbookViewId="0">
      <selection activeCell="A4" sqref="A4:AZ4"/>
    </sheetView>
  </sheetViews>
  <sheetFormatPr defaultColWidth="9.140625" defaultRowHeight="18.75"/>
  <cols>
    <col min="1" max="1" width="5.140625" style="14" customWidth="1"/>
    <col min="2" max="2" width="28.28515625" style="10" customWidth="1"/>
    <col min="3" max="6" width="10" style="11" customWidth="1"/>
    <col min="7" max="7" width="10" style="12" customWidth="1"/>
    <col min="8" max="8" width="9.85546875" style="12" customWidth="1"/>
    <col min="9" max="9" width="9.42578125" style="12" customWidth="1"/>
    <col min="10" max="14" width="9.140625" style="4"/>
    <col min="15" max="15" width="8.140625" style="4" customWidth="1"/>
    <col min="16" max="20" width="9.140625" style="4"/>
    <col min="21" max="21" width="7.85546875" style="4" customWidth="1"/>
    <col min="22" max="26" width="9.140625" style="4"/>
    <col min="27" max="27" width="7.140625" style="4" customWidth="1"/>
    <col min="28" max="28" width="8.7109375" style="4" customWidth="1"/>
    <col min="29" max="32" width="9.140625" style="4"/>
    <col min="33" max="33" width="8.140625" style="4" customWidth="1"/>
    <col min="34" max="34" width="9.140625" style="4" customWidth="1"/>
    <col min="35" max="38" width="9.140625" style="4"/>
    <col min="39" max="39" width="10.42578125" style="4" customWidth="1"/>
    <col min="40" max="40" width="8.7109375" style="4" customWidth="1"/>
    <col min="41" max="43" width="9.140625" style="4"/>
    <col min="44" max="44" width="8.7109375" style="4" customWidth="1"/>
    <col min="45" max="45" width="6.85546875" style="4" customWidth="1"/>
    <col min="46" max="46" width="9.42578125" style="4" customWidth="1"/>
    <col min="47" max="49" width="9.140625" style="4"/>
    <col min="50" max="50" width="8.42578125" style="4" customWidth="1"/>
    <col min="51" max="51" width="8.7109375" style="4" customWidth="1"/>
    <col min="52" max="256" width="9.140625" style="4"/>
    <col min="257" max="257" width="5.140625" style="4" customWidth="1"/>
    <col min="258" max="258" width="28.28515625" style="4" customWidth="1"/>
    <col min="259" max="265" width="10" style="4" customWidth="1"/>
    <col min="266" max="512" width="9.140625" style="4"/>
    <col min="513" max="513" width="5.140625" style="4" customWidth="1"/>
    <col min="514" max="514" width="28.28515625" style="4" customWidth="1"/>
    <col min="515" max="521" width="10" style="4" customWidth="1"/>
    <col min="522" max="768" width="9.140625" style="4"/>
    <col min="769" max="769" width="5.140625" style="4" customWidth="1"/>
    <col min="770" max="770" width="28.28515625" style="4" customWidth="1"/>
    <col min="771" max="777" width="10" style="4" customWidth="1"/>
    <col min="778" max="1024" width="9.140625" style="4"/>
    <col min="1025" max="1025" width="5.140625" style="4" customWidth="1"/>
    <col min="1026" max="1026" width="28.28515625" style="4" customWidth="1"/>
    <col min="1027" max="1033" width="10" style="4" customWidth="1"/>
    <col min="1034" max="1280" width="9.140625" style="4"/>
    <col min="1281" max="1281" width="5.140625" style="4" customWidth="1"/>
    <col min="1282" max="1282" width="28.28515625" style="4" customWidth="1"/>
    <col min="1283" max="1289" width="10" style="4" customWidth="1"/>
    <col min="1290" max="1536" width="9.140625" style="4"/>
    <col min="1537" max="1537" width="5.140625" style="4" customWidth="1"/>
    <col min="1538" max="1538" width="28.28515625" style="4" customWidth="1"/>
    <col min="1539" max="1545" width="10" style="4" customWidth="1"/>
    <col min="1546" max="1792" width="9.140625" style="4"/>
    <col min="1793" max="1793" width="5.140625" style="4" customWidth="1"/>
    <col min="1794" max="1794" width="28.28515625" style="4" customWidth="1"/>
    <col min="1795" max="1801" width="10" style="4" customWidth="1"/>
    <col min="1802" max="2048" width="9.140625" style="4"/>
    <col min="2049" max="2049" width="5.140625" style="4" customWidth="1"/>
    <col min="2050" max="2050" width="28.28515625" style="4" customWidth="1"/>
    <col min="2051" max="2057" width="10" style="4" customWidth="1"/>
    <col min="2058" max="2304" width="9.140625" style="4"/>
    <col min="2305" max="2305" width="5.140625" style="4" customWidth="1"/>
    <col min="2306" max="2306" width="28.28515625" style="4" customWidth="1"/>
    <col min="2307" max="2313" width="10" style="4" customWidth="1"/>
    <col min="2314" max="2560" width="9.140625" style="4"/>
    <col min="2561" max="2561" width="5.140625" style="4" customWidth="1"/>
    <col min="2562" max="2562" width="28.28515625" style="4" customWidth="1"/>
    <col min="2563" max="2569" width="10" style="4" customWidth="1"/>
    <col min="2570" max="2816" width="9.140625" style="4"/>
    <col min="2817" max="2817" width="5.140625" style="4" customWidth="1"/>
    <col min="2818" max="2818" width="28.28515625" style="4" customWidth="1"/>
    <col min="2819" max="2825" width="10" style="4" customWidth="1"/>
    <col min="2826" max="3072" width="9.140625" style="4"/>
    <col min="3073" max="3073" width="5.140625" style="4" customWidth="1"/>
    <col min="3074" max="3074" width="28.28515625" style="4" customWidth="1"/>
    <col min="3075" max="3081" width="10" style="4" customWidth="1"/>
    <col min="3082" max="3328" width="9.140625" style="4"/>
    <col min="3329" max="3329" width="5.140625" style="4" customWidth="1"/>
    <col min="3330" max="3330" width="28.28515625" style="4" customWidth="1"/>
    <col min="3331" max="3337" width="10" style="4" customWidth="1"/>
    <col min="3338" max="3584" width="9.140625" style="4"/>
    <col min="3585" max="3585" width="5.140625" style="4" customWidth="1"/>
    <col min="3586" max="3586" width="28.28515625" style="4" customWidth="1"/>
    <col min="3587" max="3593" width="10" style="4" customWidth="1"/>
    <col min="3594" max="3840" width="9.140625" style="4"/>
    <col min="3841" max="3841" width="5.140625" style="4" customWidth="1"/>
    <col min="3842" max="3842" width="28.28515625" style="4" customWidth="1"/>
    <col min="3843" max="3849" width="10" style="4" customWidth="1"/>
    <col min="3850" max="4096" width="9.140625" style="4"/>
    <col min="4097" max="4097" width="5.140625" style="4" customWidth="1"/>
    <col min="4098" max="4098" width="28.28515625" style="4" customWidth="1"/>
    <col min="4099" max="4105" width="10" style="4" customWidth="1"/>
    <col min="4106" max="4352" width="9.140625" style="4"/>
    <col min="4353" max="4353" width="5.140625" style="4" customWidth="1"/>
    <col min="4354" max="4354" width="28.28515625" style="4" customWidth="1"/>
    <col min="4355" max="4361" width="10" style="4" customWidth="1"/>
    <col min="4362" max="4608" width="9.140625" style="4"/>
    <col min="4609" max="4609" width="5.140625" style="4" customWidth="1"/>
    <col min="4610" max="4610" width="28.28515625" style="4" customWidth="1"/>
    <col min="4611" max="4617" width="10" style="4" customWidth="1"/>
    <col min="4618" max="4864" width="9.140625" style="4"/>
    <col min="4865" max="4865" width="5.140625" style="4" customWidth="1"/>
    <col min="4866" max="4866" width="28.28515625" style="4" customWidth="1"/>
    <col min="4867" max="4873" width="10" style="4" customWidth="1"/>
    <col min="4874" max="5120" width="9.140625" style="4"/>
    <col min="5121" max="5121" width="5.140625" style="4" customWidth="1"/>
    <col min="5122" max="5122" width="28.28515625" style="4" customWidth="1"/>
    <col min="5123" max="5129" width="10" style="4" customWidth="1"/>
    <col min="5130" max="5376" width="9.140625" style="4"/>
    <col min="5377" max="5377" width="5.140625" style="4" customWidth="1"/>
    <col min="5378" max="5378" width="28.28515625" style="4" customWidth="1"/>
    <col min="5379" max="5385" width="10" style="4" customWidth="1"/>
    <col min="5386" max="5632" width="9.140625" style="4"/>
    <col min="5633" max="5633" width="5.140625" style="4" customWidth="1"/>
    <col min="5634" max="5634" width="28.28515625" style="4" customWidth="1"/>
    <col min="5635" max="5641" width="10" style="4" customWidth="1"/>
    <col min="5642" max="5888" width="9.140625" style="4"/>
    <col min="5889" max="5889" width="5.140625" style="4" customWidth="1"/>
    <col min="5890" max="5890" width="28.28515625" style="4" customWidth="1"/>
    <col min="5891" max="5897" width="10" style="4" customWidth="1"/>
    <col min="5898" max="6144" width="9.140625" style="4"/>
    <col min="6145" max="6145" width="5.140625" style="4" customWidth="1"/>
    <col min="6146" max="6146" width="28.28515625" style="4" customWidth="1"/>
    <col min="6147" max="6153" width="10" style="4" customWidth="1"/>
    <col min="6154" max="6400" width="9.140625" style="4"/>
    <col min="6401" max="6401" width="5.140625" style="4" customWidth="1"/>
    <col min="6402" max="6402" width="28.28515625" style="4" customWidth="1"/>
    <col min="6403" max="6409" width="10" style="4" customWidth="1"/>
    <col min="6410" max="6656" width="9.140625" style="4"/>
    <col min="6657" max="6657" width="5.140625" style="4" customWidth="1"/>
    <col min="6658" max="6658" width="28.28515625" style="4" customWidth="1"/>
    <col min="6659" max="6665" width="10" style="4" customWidth="1"/>
    <col min="6666" max="6912" width="9.140625" style="4"/>
    <col min="6913" max="6913" width="5.140625" style="4" customWidth="1"/>
    <col min="6914" max="6914" width="28.28515625" style="4" customWidth="1"/>
    <col min="6915" max="6921" width="10" style="4" customWidth="1"/>
    <col min="6922" max="7168" width="9.140625" style="4"/>
    <col min="7169" max="7169" width="5.140625" style="4" customWidth="1"/>
    <col min="7170" max="7170" width="28.28515625" style="4" customWidth="1"/>
    <col min="7171" max="7177" width="10" style="4" customWidth="1"/>
    <col min="7178" max="7424" width="9.140625" style="4"/>
    <col min="7425" max="7425" width="5.140625" style="4" customWidth="1"/>
    <col min="7426" max="7426" width="28.28515625" style="4" customWidth="1"/>
    <col min="7427" max="7433" width="10" style="4" customWidth="1"/>
    <col min="7434" max="7680" width="9.140625" style="4"/>
    <col min="7681" max="7681" width="5.140625" style="4" customWidth="1"/>
    <col min="7682" max="7682" width="28.28515625" style="4" customWidth="1"/>
    <col min="7683" max="7689" width="10" style="4" customWidth="1"/>
    <col min="7690" max="7936" width="9.140625" style="4"/>
    <col min="7937" max="7937" width="5.140625" style="4" customWidth="1"/>
    <col min="7938" max="7938" width="28.28515625" style="4" customWidth="1"/>
    <col min="7939" max="7945" width="10" style="4" customWidth="1"/>
    <col min="7946" max="8192" width="9.140625" style="4"/>
    <col min="8193" max="8193" width="5.140625" style="4" customWidth="1"/>
    <col min="8194" max="8194" width="28.28515625" style="4" customWidth="1"/>
    <col min="8195" max="8201" width="10" style="4" customWidth="1"/>
    <col min="8202" max="8448" width="9.140625" style="4"/>
    <col min="8449" max="8449" width="5.140625" style="4" customWidth="1"/>
    <col min="8450" max="8450" width="28.28515625" style="4" customWidth="1"/>
    <col min="8451" max="8457" width="10" style="4" customWidth="1"/>
    <col min="8458" max="8704" width="9.140625" style="4"/>
    <col min="8705" max="8705" width="5.140625" style="4" customWidth="1"/>
    <col min="8706" max="8706" width="28.28515625" style="4" customWidth="1"/>
    <col min="8707" max="8713" width="10" style="4" customWidth="1"/>
    <col min="8714" max="8960" width="9.140625" style="4"/>
    <col min="8961" max="8961" width="5.140625" style="4" customWidth="1"/>
    <col min="8962" max="8962" width="28.28515625" style="4" customWidth="1"/>
    <col min="8963" max="8969" width="10" style="4" customWidth="1"/>
    <col min="8970" max="9216" width="9.140625" style="4"/>
    <col min="9217" max="9217" width="5.140625" style="4" customWidth="1"/>
    <col min="9218" max="9218" width="28.28515625" style="4" customWidth="1"/>
    <col min="9219" max="9225" width="10" style="4" customWidth="1"/>
    <col min="9226" max="9472" width="9.140625" style="4"/>
    <col min="9473" max="9473" width="5.140625" style="4" customWidth="1"/>
    <col min="9474" max="9474" width="28.28515625" style="4" customWidth="1"/>
    <col min="9475" max="9481" width="10" style="4" customWidth="1"/>
    <col min="9482" max="9728" width="9.140625" style="4"/>
    <col min="9729" max="9729" width="5.140625" style="4" customWidth="1"/>
    <col min="9730" max="9730" width="28.28515625" style="4" customWidth="1"/>
    <col min="9731" max="9737" width="10" style="4" customWidth="1"/>
    <col min="9738" max="9984" width="9.140625" style="4"/>
    <col min="9985" max="9985" width="5.140625" style="4" customWidth="1"/>
    <col min="9986" max="9986" width="28.28515625" style="4" customWidth="1"/>
    <col min="9987" max="9993" width="10" style="4" customWidth="1"/>
    <col min="9994" max="10240" width="9.140625" style="4"/>
    <col min="10241" max="10241" width="5.140625" style="4" customWidth="1"/>
    <col min="10242" max="10242" width="28.28515625" style="4" customWidth="1"/>
    <col min="10243" max="10249" width="10" style="4" customWidth="1"/>
    <col min="10250" max="10496" width="9.140625" style="4"/>
    <col min="10497" max="10497" width="5.140625" style="4" customWidth="1"/>
    <col min="10498" max="10498" width="28.28515625" style="4" customWidth="1"/>
    <col min="10499" max="10505" width="10" style="4" customWidth="1"/>
    <col min="10506" max="10752" width="9.140625" style="4"/>
    <col min="10753" max="10753" width="5.140625" style="4" customWidth="1"/>
    <col min="10754" max="10754" width="28.28515625" style="4" customWidth="1"/>
    <col min="10755" max="10761" width="10" style="4" customWidth="1"/>
    <col min="10762" max="11008" width="9.140625" style="4"/>
    <col min="11009" max="11009" width="5.140625" style="4" customWidth="1"/>
    <col min="11010" max="11010" width="28.28515625" style="4" customWidth="1"/>
    <col min="11011" max="11017" width="10" style="4" customWidth="1"/>
    <col min="11018" max="11264" width="9.140625" style="4"/>
    <col min="11265" max="11265" width="5.140625" style="4" customWidth="1"/>
    <col min="11266" max="11266" width="28.28515625" style="4" customWidth="1"/>
    <col min="11267" max="11273" width="10" style="4" customWidth="1"/>
    <col min="11274" max="11520" width="9.140625" style="4"/>
    <col min="11521" max="11521" width="5.140625" style="4" customWidth="1"/>
    <col min="11522" max="11522" width="28.28515625" style="4" customWidth="1"/>
    <col min="11523" max="11529" width="10" style="4" customWidth="1"/>
    <col min="11530" max="11776" width="9.140625" style="4"/>
    <col min="11777" max="11777" width="5.140625" style="4" customWidth="1"/>
    <col min="11778" max="11778" width="28.28515625" style="4" customWidth="1"/>
    <col min="11779" max="11785" width="10" style="4" customWidth="1"/>
    <col min="11786" max="12032" width="9.140625" style="4"/>
    <col min="12033" max="12033" width="5.140625" style="4" customWidth="1"/>
    <col min="12034" max="12034" width="28.28515625" style="4" customWidth="1"/>
    <col min="12035" max="12041" width="10" style="4" customWidth="1"/>
    <col min="12042" max="12288" width="9.140625" style="4"/>
    <col min="12289" max="12289" width="5.140625" style="4" customWidth="1"/>
    <col min="12290" max="12290" width="28.28515625" style="4" customWidth="1"/>
    <col min="12291" max="12297" width="10" style="4" customWidth="1"/>
    <col min="12298" max="12544" width="9.140625" style="4"/>
    <col min="12545" max="12545" width="5.140625" style="4" customWidth="1"/>
    <col min="12546" max="12546" width="28.28515625" style="4" customWidth="1"/>
    <col min="12547" max="12553" width="10" style="4" customWidth="1"/>
    <col min="12554" max="12800" width="9.140625" style="4"/>
    <col min="12801" max="12801" width="5.140625" style="4" customWidth="1"/>
    <col min="12802" max="12802" width="28.28515625" style="4" customWidth="1"/>
    <col min="12803" max="12809" width="10" style="4" customWidth="1"/>
    <col min="12810" max="13056" width="9.140625" style="4"/>
    <col min="13057" max="13057" width="5.140625" style="4" customWidth="1"/>
    <col min="13058" max="13058" width="28.28515625" style="4" customWidth="1"/>
    <col min="13059" max="13065" width="10" style="4" customWidth="1"/>
    <col min="13066" max="13312" width="9.140625" style="4"/>
    <col min="13313" max="13313" width="5.140625" style="4" customWidth="1"/>
    <col min="13314" max="13314" width="28.28515625" style="4" customWidth="1"/>
    <col min="13315" max="13321" width="10" style="4" customWidth="1"/>
    <col min="13322" max="13568" width="9.140625" style="4"/>
    <col min="13569" max="13569" width="5.140625" style="4" customWidth="1"/>
    <col min="13570" max="13570" width="28.28515625" style="4" customWidth="1"/>
    <col min="13571" max="13577" width="10" style="4" customWidth="1"/>
    <col min="13578" max="13824" width="9.140625" style="4"/>
    <col min="13825" max="13825" width="5.140625" style="4" customWidth="1"/>
    <col min="13826" max="13826" width="28.28515625" style="4" customWidth="1"/>
    <col min="13827" max="13833" width="10" style="4" customWidth="1"/>
    <col min="13834" max="14080" width="9.140625" style="4"/>
    <col min="14081" max="14081" width="5.140625" style="4" customWidth="1"/>
    <col min="14082" max="14082" width="28.28515625" style="4" customWidth="1"/>
    <col min="14083" max="14089" width="10" style="4" customWidth="1"/>
    <col min="14090" max="14336" width="9.140625" style="4"/>
    <col min="14337" max="14337" width="5.140625" style="4" customWidth="1"/>
    <col min="14338" max="14338" width="28.28515625" style="4" customWidth="1"/>
    <col min="14339" max="14345" width="10" style="4" customWidth="1"/>
    <col min="14346" max="14592" width="9.140625" style="4"/>
    <col min="14593" max="14593" width="5.140625" style="4" customWidth="1"/>
    <col min="14594" max="14594" width="28.28515625" style="4" customWidth="1"/>
    <col min="14595" max="14601" width="10" style="4" customWidth="1"/>
    <col min="14602" max="14848" width="9.140625" style="4"/>
    <col min="14849" max="14849" width="5.140625" style="4" customWidth="1"/>
    <col min="14850" max="14850" width="28.28515625" style="4" customWidth="1"/>
    <col min="14851" max="14857" width="10" style="4" customWidth="1"/>
    <col min="14858" max="15104" width="9.140625" style="4"/>
    <col min="15105" max="15105" width="5.140625" style="4" customWidth="1"/>
    <col min="15106" max="15106" width="28.28515625" style="4" customWidth="1"/>
    <col min="15107" max="15113" width="10" style="4" customWidth="1"/>
    <col min="15114" max="15360" width="9.140625" style="4"/>
    <col min="15361" max="15361" width="5.140625" style="4" customWidth="1"/>
    <col min="15362" max="15362" width="28.28515625" style="4" customWidth="1"/>
    <col min="15363" max="15369" width="10" style="4" customWidth="1"/>
    <col min="15370" max="15616" width="9.140625" style="4"/>
    <col min="15617" max="15617" width="5.140625" style="4" customWidth="1"/>
    <col min="15618" max="15618" width="28.28515625" style="4" customWidth="1"/>
    <col min="15619" max="15625" width="10" style="4" customWidth="1"/>
    <col min="15626" max="15872" width="9.140625" style="4"/>
    <col min="15873" max="15873" width="5.140625" style="4" customWidth="1"/>
    <col min="15874" max="15874" width="28.28515625" style="4" customWidth="1"/>
    <col min="15875" max="15881" width="10" style="4" customWidth="1"/>
    <col min="15882" max="16128" width="9.140625" style="4"/>
    <col min="16129" max="16129" width="5.140625" style="4" customWidth="1"/>
    <col min="16130" max="16130" width="28.28515625" style="4" customWidth="1"/>
    <col min="16131" max="16137" width="10" style="4" customWidth="1"/>
    <col min="16138" max="16384" width="9.140625" style="4"/>
  </cols>
  <sheetData>
    <row r="1" spans="1:52" s="1" customFormat="1" ht="32.25" hidden="1" customHeight="1">
      <c r="A1" s="29"/>
      <c r="B1" s="3"/>
      <c r="C1" s="3"/>
      <c r="D1" s="3"/>
      <c r="E1" s="3"/>
      <c r="F1" s="3"/>
      <c r="G1" s="3"/>
      <c r="H1" s="2"/>
      <c r="I1" s="2"/>
    </row>
    <row r="2" spans="1:52" s="1" customFormat="1" ht="26.25">
      <c r="A2" s="538" t="s">
        <v>1366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8"/>
      <c r="AW2" s="538"/>
      <c r="AX2" s="538"/>
      <c r="AY2" s="538"/>
      <c r="AZ2" s="442"/>
    </row>
    <row r="3" spans="1:52" ht="43.5" customHeight="1">
      <c r="A3" s="490" t="s">
        <v>167</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row>
    <row r="4" spans="1:52" ht="29.45" customHeight="1">
      <c r="A4" s="539" t="str">
        <f>'B.I THDP'!A3:K3</f>
        <v>(Kèm theo Công văn số 1080/UBND-KTTH ngày   08  tháng  8  năm 2024 của Ủy ban nhân dân tỉnh An Giang)</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row>
    <row r="5" spans="1:52" s="5" customFormat="1" ht="19.5">
      <c r="A5" s="546"/>
      <c r="B5" s="546"/>
      <c r="C5" s="546"/>
      <c r="D5" s="546"/>
      <c r="E5" s="546"/>
      <c r="F5" s="546"/>
      <c r="G5" s="546"/>
      <c r="H5" s="546"/>
      <c r="I5" s="546"/>
      <c r="AQ5" s="540" t="s">
        <v>1</v>
      </c>
      <c r="AR5" s="540"/>
      <c r="AS5" s="540"/>
      <c r="AT5" s="540"/>
      <c r="AU5" s="540"/>
      <c r="AV5" s="540"/>
      <c r="AW5" s="540"/>
      <c r="AX5" s="540"/>
      <c r="AY5" s="540"/>
    </row>
    <row r="6" spans="1:52" s="7" customFormat="1" ht="30" customHeight="1">
      <c r="A6" s="521" t="s">
        <v>22</v>
      </c>
      <c r="B6" s="521" t="s">
        <v>168</v>
      </c>
      <c r="C6" s="522" t="s">
        <v>169</v>
      </c>
      <c r="D6" s="541"/>
      <c r="E6" s="541"/>
      <c r="F6" s="541"/>
      <c r="G6" s="541"/>
      <c r="H6" s="541"/>
      <c r="I6" s="523"/>
      <c r="J6" s="474" t="s">
        <v>170</v>
      </c>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t="s">
        <v>171</v>
      </c>
      <c r="AU6" s="474"/>
      <c r="AV6" s="474"/>
      <c r="AW6" s="474"/>
      <c r="AX6" s="474"/>
      <c r="AY6" s="474"/>
      <c r="AZ6" s="474" t="s">
        <v>33</v>
      </c>
    </row>
    <row r="7" spans="1:52" s="7" customFormat="1" ht="26.25" customHeight="1">
      <c r="A7" s="521"/>
      <c r="B7" s="521"/>
      <c r="C7" s="542"/>
      <c r="D7" s="543"/>
      <c r="E7" s="543"/>
      <c r="F7" s="543"/>
      <c r="G7" s="543"/>
      <c r="H7" s="543"/>
      <c r="I7" s="544"/>
      <c r="J7" s="474" t="s">
        <v>172</v>
      </c>
      <c r="K7" s="474"/>
      <c r="L7" s="474"/>
      <c r="M7" s="474"/>
      <c r="N7" s="474"/>
      <c r="O7" s="474"/>
      <c r="P7" s="474"/>
      <c r="Q7" s="474"/>
      <c r="R7" s="474"/>
      <c r="S7" s="474"/>
      <c r="T7" s="474"/>
      <c r="U7" s="474"/>
      <c r="V7" s="474"/>
      <c r="W7" s="474"/>
      <c r="X7" s="474"/>
      <c r="Y7" s="474"/>
      <c r="Z7" s="474"/>
      <c r="AA7" s="474"/>
      <c r="AB7" s="474"/>
      <c r="AC7" s="474"/>
      <c r="AD7" s="474"/>
      <c r="AE7" s="474"/>
      <c r="AF7" s="474"/>
      <c r="AG7" s="474"/>
      <c r="AH7" s="474" t="s">
        <v>173</v>
      </c>
      <c r="AI7" s="474"/>
      <c r="AJ7" s="474"/>
      <c r="AK7" s="474"/>
      <c r="AL7" s="474"/>
      <c r="AM7" s="474"/>
      <c r="AN7" s="474"/>
      <c r="AO7" s="474"/>
      <c r="AP7" s="474"/>
      <c r="AQ7" s="474"/>
      <c r="AR7" s="474"/>
      <c r="AS7" s="478"/>
      <c r="AT7" s="474"/>
      <c r="AU7" s="474"/>
      <c r="AV7" s="474"/>
      <c r="AW7" s="474"/>
      <c r="AX7" s="474"/>
      <c r="AY7" s="474"/>
      <c r="AZ7" s="474"/>
    </row>
    <row r="8" spans="1:52" s="7" customFormat="1" ht="52.5" customHeight="1">
      <c r="A8" s="521"/>
      <c r="B8" s="521"/>
      <c r="C8" s="524"/>
      <c r="D8" s="545"/>
      <c r="E8" s="545"/>
      <c r="F8" s="545"/>
      <c r="G8" s="545"/>
      <c r="H8" s="545"/>
      <c r="I8" s="525"/>
      <c r="J8" s="474" t="s">
        <v>174</v>
      </c>
      <c r="K8" s="474"/>
      <c r="L8" s="474"/>
      <c r="M8" s="474"/>
      <c r="N8" s="474"/>
      <c r="O8" s="474"/>
      <c r="P8" s="474" t="s">
        <v>175</v>
      </c>
      <c r="Q8" s="474"/>
      <c r="R8" s="474"/>
      <c r="S8" s="474"/>
      <c r="T8" s="474"/>
      <c r="U8" s="474"/>
      <c r="V8" s="474" t="s">
        <v>176</v>
      </c>
      <c r="W8" s="474"/>
      <c r="X8" s="474"/>
      <c r="Y8" s="474"/>
      <c r="Z8" s="474"/>
      <c r="AA8" s="474"/>
      <c r="AB8" s="474" t="s">
        <v>177</v>
      </c>
      <c r="AC8" s="474"/>
      <c r="AD8" s="474"/>
      <c r="AE8" s="474"/>
      <c r="AF8" s="474"/>
      <c r="AG8" s="474"/>
      <c r="AH8" s="474" t="s">
        <v>178</v>
      </c>
      <c r="AI8" s="474"/>
      <c r="AJ8" s="474"/>
      <c r="AK8" s="474"/>
      <c r="AL8" s="474"/>
      <c r="AM8" s="474"/>
      <c r="AN8" s="474" t="s">
        <v>179</v>
      </c>
      <c r="AO8" s="474"/>
      <c r="AP8" s="474"/>
      <c r="AQ8" s="474"/>
      <c r="AR8" s="474"/>
      <c r="AS8" s="474"/>
      <c r="AT8" s="474" t="s">
        <v>180</v>
      </c>
      <c r="AU8" s="474"/>
      <c r="AV8" s="474"/>
      <c r="AW8" s="474"/>
      <c r="AX8" s="474"/>
      <c r="AY8" s="474"/>
      <c r="AZ8" s="474"/>
    </row>
    <row r="9" spans="1:52" s="7" customFormat="1" ht="23.25" customHeight="1">
      <c r="A9" s="521"/>
      <c r="B9" s="521"/>
      <c r="C9" s="521" t="s">
        <v>140</v>
      </c>
      <c r="D9" s="521" t="s">
        <v>181</v>
      </c>
      <c r="E9" s="521"/>
      <c r="F9" s="521"/>
      <c r="G9" s="521"/>
      <c r="H9" s="521"/>
      <c r="I9" s="521"/>
      <c r="J9" s="521" t="s">
        <v>140</v>
      </c>
      <c r="K9" s="474" t="s">
        <v>181</v>
      </c>
      <c r="L9" s="474"/>
      <c r="M9" s="474"/>
      <c r="N9" s="474"/>
      <c r="O9" s="474"/>
      <c r="P9" s="521" t="s">
        <v>140</v>
      </c>
      <c r="Q9" s="474" t="s">
        <v>181</v>
      </c>
      <c r="R9" s="474"/>
      <c r="S9" s="474"/>
      <c r="T9" s="474"/>
      <c r="U9" s="474"/>
      <c r="V9" s="521" t="s">
        <v>140</v>
      </c>
      <c r="W9" s="474" t="s">
        <v>181</v>
      </c>
      <c r="X9" s="474"/>
      <c r="Y9" s="474"/>
      <c r="Z9" s="474"/>
      <c r="AA9" s="474"/>
      <c r="AB9" s="521" t="s">
        <v>140</v>
      </c>
      <c r="AC9" s="474" t="s">
        <v>181</v>
      </c>
      <c r="AD9" s="474"/>
      <c r="AE9" s="474"/>
      <c r="AF9" s="474"/>
      <c r="AG9" s="474"/>
      <c r="AH9" s="521" t="s">
        <v>140</v>
      </c>
      <c r="AI9" s="474" t="s">
        <v>181</v>
      </c>
      <c r="AJ9" s="474"/>
      <c r="AK9" s="474"/>
      <c r="AL9" s="474"/>
      <c r="AM9" s="474"/>
      <c r="AN9" s="521" t="s">
        <v>140</v>
      </c>
      <c r="AO9" s="474" t="s">
        <v>181</v>
      </c>
      <c r="AP9" s="474"/>
      <c r="AQ9" s="474"/>
      <c r="AR9" s="474"/>
      <c r="AS9" s="474"/>
      <c r="AT9" s="521" t="s">
        <v>140</v>
      </c>
      <c r="AU9" s="474" t="s">
        <v>181</v>
      </c>
      <c r="AV9" s="474"/>
      <c r="AW9" s="474"/>
      <c r="AX9" s="474"/>
      <c r="AY9" s="474"/>
      <c r="AZ9" s="474"/>
    </row>
    <row r="10" spans="1:52" s="7" customFormat="1" ht="33" customHeight="1">
      <c r="A10" s="521"/>
      <c r="B10" s="521"/>
      <c r="C10" s="521"/>
      <c r="D10" s="521" t="s">
        <v>182</v>
      </c>
      <c r="E10" s="521"/>
      <c r="F10" s="521"/>
      <c r="G10" s="521"/>
      <c r="H10" s="521" t="s">
        <v>183</v>
      </c>
      <c r="I10" s="521"/>
      <c r="J10" s="521"/>
      <c r="K10" s="474" t="s">
        <v>184</v>
      </c>
      <c r="L10" s="474"/>
      <c r="M10" s="474"/>
      <c r="N10" s="474"/>
      <c r="O10" s="474"/>
      <c r="P10" s="521"/>
      <c r="Q10" s="474" t="s">
        <v>184</v>
      </c>
      <c r="R10" s="474"/>
      <c r="S10" s="474"/>
      <c r="T10" s="474"/>
      <c r="U10" s="474"/>
      <c r="V10" s="521"/>
      <c r="W10" s="474" t="s">
        <v>184</v>
      </c>
      <c r="X10" s="474"/>
      <c r="Y10" s="474"/>
      <c r="Z10" s="474"/>
      <c r="AA10" s="474"/>
      <c r="AB10" s="521"/>
      <c r="AC10" s="474" t="s">
        <v>184</v>
      </c>
      <c r="AD10" s="474"/>
      <c r="AE10" s="474"/>
      <c r="AF10" s="474"/>
      <c r="AG10" s="474"/>
      <c r="AH10" s="521"/>
      <c r="AI10" s="474" t="s">
        <v>184</v>
      </c>
      <c r="AJ10" s="474"/>
      <c r="AK10" s="474"/>
      <c r="AL10" s="474"/>
      <c r="AM10" s="474"/>
      <c r="AN10" s="521"/>
      <c r="AO10" s="474" t="s">
        <v>184</v>
      </c>
      <c r="AP10" s="474"/>
      <c r="AQ10" s="474"/>
      <c r="AR10" s="474"/>
      <c r="AS10" s="474"/>
      <c r="AT10" s="521"/>
      <c r="AU10" s="474" t="s">
        <v>184</v>
      </c>
      <c r="AV10" s="474"/>
      <c r="AW10" s="474"/>
      <c r="AX10" s="474"/>
      <c r="AY10" s="474"/>
      <c r="AZ10" s="474"/>
    </row>
    <row r="11" spans="1:52" s="7" customFormat="1" ht="42.75" customHeight="1">
      <c r="A11" s="521"/>
      <c r="B11" s="521"/>
      <c r="C11" s="521"/>
      <c r="D11" s="547" t="s">
        <v>125</v>
      </c>
      <c r="E11" s="548"/>
      <c r="F11" s="549"/>
      <c r="G11" s="529" t="s">
        <v>124</v>
      </c>
      <c r="H11" s="529" t="s">
        <v>125</v>
      </c>
      <c r="I11" s="529" t="s">
        <v>124</v>
      </c>
      <c r="J11" s="521"/>
      <c r="K11" s="474" t="s">
        <v>125</v>
      </c>
      <c r="L11" s="474"/>
      <c r="M11" s="474"/>
      <c r="N11" s="474" t="s">
        <v>124</v>
      </c>
      <c r="O11" s="474"/>
      <c r="P11" s="521"/>
      <c r="Q11" s="474" t="s">
        <v>125</v>
      </c>
      <c r="R11" s="474"/>
      <c r="S11" s="474"/>
      <c r="T11" s="474" t="s">
        <v>124</v>
      </c>
      <c r="U11" s="474"/>
      <c r="V11" s="521"/>
      <c r="W11" s="474" t="s">
        <v>125</v>
      </c>
      <c r="X11" s="474"/>
      <c r="Y11" s="474"/>
      <c r="Z11" s="474" t="s">
        <v>124</v>
      </c>
      <c r="AA11" s="474"/>
      <c r="AB11" s="521"/>
      <c r="AC11" s="474" t="s">
        <v>125</v>
      </c>
      <c r="AD11" s="474"/>
      <c r="AE11" s="474"/>
      <c r="AF11" s="474" t="s">
        <v>124</v>
      </c>
      <c r="AG11" s="474"/>
      <c r="AH11" s="521"/>
      <c r="AI11" s="474" t="s">
        <v>125</v>
      </c>
      <c r="AJ11" s="474"/>
      <c r="AK11" s="474"/>
      <c r="AL11" s="474" t="s">
        <v>124</v>
      </c>
      <c r="AM11" s="474"/>
      <c r="AN11" s="521"/>
      <c r="AO11" s="474" t="s">
        <v>125</v>
      </c>
      <c r="AP11" s="474"/>
      <c r="AQ11" s="474"/>
      <c r="AR11" s="474" t="s">
        <v>124</v>
      </c>
      <c r="AS11" s="474"/>
      <c r="AT11" s="521"/>
      <c r="AU11" s="474" t="s">
        <v>125</v>
      </c>
      <c r="AV11" s="474"/>
      <c r="AW11" s="474"/>
      <c r="AX11" s="474" t="s">
        <v>124</v>
      </c>
      <c r="AY11" s="474"/>
      <c r="AZ11" s="474"/>
    </row>
    <row r="12" spans="1:52" s="7" customFormat="1" ht="33.75" customHeight="1">
      <c r="A12" s="521"/>
      <c r="B12" s="521"/>
      <c r="C12" s="521"/>
      <c r="D12" s="529" t="s">
        <v>185</v>
      </c>
      <c r="E12" s="547"/>
      <c r="F12" s="549"/>
      <c r="G12" s="530"/>
      <c r="H12" s="530"/>
      <c r="I12" s="530"/>
      <c r="J12" s="521"/>
      <c r="K12" s="474" t="s">
        <v>186</v>
      </c>
      <c r="L12" s="474"/>
      <c r="M12" s="76" t="s">
        <v>187</v>
      </c>
      <c r="N12" s="474" t="s">
        <v>186</v>
      </c>
      <c r="O12" s="474" t="s">
        <v>187</v>
      </c>
      <c r="P12" s="521"/>
      <c r="Q12" s="474" t="s">
        <v>186</v>
      </c>
      <c r="R12" s="474"/>
      <c r="S12" s="76" t="s">
        <v>187</v>
      </c>
      <c r="T12" s="474" t="s">
        <v>186</v>
      </c>
      <c r="U12" s="474" t="s">
        <v>187</v>
      </c>
      <c r="V12" s="521"/>
      <c r="W12" s="474" t="s">
        <v>186</v>
      </c>
      <c r="X12" s="474"/>
      <c r="Y12" s="76" t="s">
        <v>187</v>
      </c>
      <c r="Z12" s="474" t="s">
        <v>186</v>
      </c>
      <c r="AA12" s="474" t="s">
        <v>187</v>
      </c>
      <c r="AB12" s="521"/>
      <c r="AC12" s="474" t="s">
        <v>186</v>
      </c>
      <c r="AD12" s="474"/>
      <c r="AE12" s="76" t="s">
        <v>187</v>
      </c>
      <c r="AF12" s="474" t="s">
        <v>186</v>
      </c>
      <c r="AG12" s="474" t="s">
        <v>187</v>
      </c>
      <c r="AH12" s="521"/>
      <c r="AI12" s="474" t="s">
        <v>186</v>
      </c>
      <c r="AJ12" s="474"/>
      <c r="AK12" s="76" t="s">
        <v>187</v>
      </c>
      <c r="AL12" s="474" t="s">
        <v>186</v>
      </c>
      <c r="AM12" s="474" t="s">
        <v>187</v>
      </c>
      <c r="AN12" s="521"/>
      <c r="AO12" s="474" t="s">
        <v>186</v>
      </c>
      <c r="AP12" s="474"/>
      <c r="AQ12" s="76" t="s">
        <v>187</v>
      </c>
      <c r="AR12" s="474" t="s">
        <v>186</v>
      </c>
      <c r="AS12" s="474" t="s">
        <v>187</v>
      </c>
      <c r="AT12" s="521"/>
      <c r="AU12" s="474" t="s">
        <v>186</v>
      </c>
      <c r="AV12" s="474"/>
      <c r="AW12" s="76" t="s">
        <v>187</v>
      </c>
      <c r="AX12" s="474" t="s">
        <v>186</v>
      </c>
      <c r="AY12" s="474" t="s">
        <v>187</v>
      </c>
      <c r="AZ12" s="474"/>
    </row>
    <row r="13" spans="1:52" s="7" customFormat="1" ht="83.25" customHeight="1">
      <c r="A13" s="521"/>
      <c r="B13" s="521"/>
      <c r="C13" s="521"/>
      <c r="D13" s="531"/>
      <c r="E13" s="83" t="s">
        <v>188</v>
      </c>
      <c r="F13" s="83" t="s">
        <v>189</v>
      </c>
      <c r="G13" s="531"/>
      <c r="H13" s="531"/>
      <c r="I13" s="531"/>
      <c r="J13" s="521"/>
      <c r="K13" s="76" t="s">
        <v>190</v>
      </c>
      <c r="L13" s="76" t="s">
        <v>189</v>
      </c>
      <c r="M13" s="76" t="s">
        <v>190</v>
      </c>
      <c r="N13" s="474"/>
      <c r="O13" s="474"/>
      <c r="P13" s="521"/>
      <c r="Q13" s="76" t="s">
        <v>190</v>
      </c>
      <c r="R13" s="76" t="s">
        <v>189</v>
      </c>
      <c r="S13" s="76" t="s">
        <v>190</v>
      </c>
      <c r="T13" s="474"/>
      <c r="U13" s="474"/>
      <c r="V13" s="521"/>
      <c r="W13" s="76" t="s">
        <v>190</v>
      </c>
      <c r="X13" s="76" t="s">
        <v>189</v>
      </c>
      <c r="Y13" s="76" t="s">
        <v>190</v>
      </c>
      <c r="Z13" s="474"/>
      <c r="AA13" s="474"/>
      <c r="AB13" s="521"/>
      <c r="AC13" s="76" t="s">
        <v>190</v>
      </c>
      <c r="AD13" s="76" t="s">
        <v>189</v>
      </c>
      <c r="AE13" s="76" t="s">
        <v>190</v>
      </c>
      <c r="AF13" s="474"/>
      <c r="AG13" s="474"/>
      <c r="AH13" s="521"/>
      <c r="AI13" s="76" t="s">
        <v>190</v>
      </c>
      <c r="AJ13" s="76" t="s">
        <v>189</v>
      </c>
      <c r="AK13" s="76" t="s">
        <v>190</v>
      </c>
      <c r="AL13" s="474"/>
      <c r="AM13" s="474"/>
      <c r="AN13" s="521"/>
      <c r="AO13" s="76" t="s">
        <v>190</v>
      </c>
      <c r="AP13" s="76" t="s">
        <v>189</v>
      </c>
      <c r="AQ13" s="76" t="s">
        <v>190</v>
      </c>
      <c r="AR13" s="474"/>
      <c r="AS13" s="474"/>
      <c r="AT13" s="521"/>
      <c r="AU13" s="76" t="s">
        <v>190</v>
      </c>
      <c r="AV13" s="76" t="s">
        <v>189</v>
      </c>
      <c r="AW13" s="76" t="s">
        <v>190</v>
      </c>
      <c r="AX13" s="474"/>
      <c r="AY13" s="474"/>
      <c r="AZ13" s="474"/>
    </row>
    <row r="14" spans="1:52" s="9" customFormat="1" ht="18" customHeight="1">
      <c r="A14" s="78"/>
      <c r="B14" s="41"/>
      <c r="C14" s="78"/>
      <c r="D14" s="78"/>
      <c r="E14" s="41"/>
      <c r="F14" s="78"/>
      <c r="G14" s="78"/>
      <c r="H14" s="41"/>
      <c r="I14" s="78"/>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row>
    <row r="15" spans="1:52" s="9" customFormat="1">
      <c r="A15" s="79"/>
      <c r="B15" s="65" t="s">
        <v>191</v>
      </c>
      <c r="C15" s="44"/>
      <c r="D15" s="44"/>
      <c r="E15" s="44"/>
      <c r="F15" s="44"/>
      <c r="G15" s="44"/>
      <c r="H15" s="44"/>
      <c r="I15" s="44"/>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6" spans="1:52" s="2" customFormat="1" ht="37.5">
      <c r="A16" s="50" t="s">
        <v>37</v>
      </c>
      <c r="B16" s="51" t="s">
        <v>1150</v>
      </c>
      <c r="C16" s="65">
        <f>C17+C20+C21+C24+C28+C29+C32</f>
        <v>907932</v>
      </c>
      <c r="D16" s="65">
        <f t="shared" ref="D16:AY16" si="0">D17+D20+D21+D24+D28+D29+D32</f>
        <v>364300</v>
      </c>
      <c r="E16" s="65">
        <f t="shared" si="0"/>
        <v>339286</v>
      </c>
      <c r="F16" s="65">
        <f t="shared" si="0"/>
        <v>0</v>
      </c>
      <c r="G16" s="65">
        <f t="shared" si="0"/>
        <v>33929</v>
      </c>
      <c r="H16" s="65">
        <f t="shared" si="0"/>
        <v>487469</v>
      </c>
      <c r="I16" s="65">
        <f t="shared" si="0"/>
        <v>48749</v>
      </c>
      <c r="J16" s="65">
        <f t="shared" si="0"/>
        <v>413583.1</v>
      </c>
      <c r="K16" s="65">
        <f t="shared" si="0"/>
        <v>197135</v>
      </c>
      <c r="L16" s="65">
        <f t="shared" si="0"/>
        <v>0</v>
      </c>
      <c r="M16" s="65">
        <f t="shared" si="0"/>
        <v>183196</v>
      </c>
      <c r="N16" s="65">
        <f t="shared" si="0"/>
        <v>19713.099999999999</v>
      </c>
      <c r="O16" s="65">
        <f t="shared" si="0"/>
        <v>18237</v>
      </c>
      <c r="P16" s="65">
        <f t="shared" si="0"/>
        <v>168115.5</v>
      </c>
      <c r="Q16" s="65">
        <f t="shared" si="0"/>
        <v>34156</v>
      </c>
      <c r="R16" s="65">
        <f t="shared" si="0"/>
        <v>0</v>
      </c>
      <c r="S16" s="65">
        <f t="shared" si="0"/>
        <v>121557.5</v>
      </c>
      <c r="T16" s="65">
        <f t="shared" si="0"/>
        <v>1656</v>
      </c>
      <c r="U16" s="65">
        <f t="shared" si="0"/>
        <v>10746</v>
      </c>
      <c r="V16" s="65">
        <f t="shared" si="0"/>
        <v>89507.3</v>
      </c>
      <c r="W16" s="65">
        <f t="shared" si="0"/>
        <v>22656.2</v>
      </c>
      <c r="X16" s="65">
        <f t="shared" si="0"/>
        <v>0</v>
      </c>
      <c r="Y16" s="65">
        <f t="shared" si="0"/>
        <v>55152</v>
      </c>
      <c r="Z16" s="65">
        <f t="shared" si="0"/>
        <v>6562.1</v>
      </c>
      <c r="AA16" s="65">
        <f t="shared" si="0"/>
        <v>5137</v>
      </c>
      <c r="AB16" s="65">
        <f t="shared" si="0"/>
        <v>30009</v>
      </c>
      <c r="AC16" s="65">
        <f t="shared" si="0"/>
        <v>18477</v>
      </c>
      <c r="AD16" s="65">
        <f t="shared" si="0"/>
        <v>0</v>
      </c>
      <c r="AE16" s="65">
        <f t="shared" si="0"/>
        <v>9847</v>
      </c>
      <c r="AF16" s="65">
        <f t="shared" si="0"/>
        <v>980</v>
      </c>
      <c r="AG16" s="65">
        <f t="shared" si="0"/>
        <v>705</v>
      </c>
      <c r="AH16" s="65">
        <f t="shared" si="0"/>
        <v>275763</v>
      </c>
      <c r="AI16" s="65">
        <f t="shared" si="0"/>
        <v>95317</v>
      </c>
      <c r="AJ16" s="65">
        <f t="shared" si="0"/>
        <v>0</v>
      </c>
      <c r="AK16" s="65">
        <f t="shared" si="0"/>
        <v>155376</v>
      </c>
      <c r="AL16" s="65">
        <f t="shared" si="0"/>
        <v>9532</v>
      </c>
      <c r="AM16" s="65">
        <f t="shared" si="0"/>
        <v>15538</v>
      </c>
      <c r="AN16" s="65">
        <f t="shared" si="0"/>
        <v>47818.400000000001</v>
      </c>
      <c r="AO16" s="65">
        <f t="shared" si="0"/>
        <v>39589</v>
      </c>
      <c r="AP16" s="65">
        <f t="shared" si="0"/>
        <v>0</v>
      </c>
      <c r="AQ16" s="65">
        <f t="shared" si="0"/>
        <v>8205.4</v>
      </c>
      <c r="AR16" s="65">
        <f t="shared" si="0"/>
        <v>1959</v>
      </c>
      <c r="AS16" s="65">
        <f t="shared" si="0"/>
        <v>560</v>
      </c>
      <c r="AT16" s="65">
        <f t="shared" si="0"/>
        <v>184811</v>
      </c>
      <c r="AU16" s="65">
        <f t="shared" si="0"/>
        <v>43092</v>
      </c>
      <c r="AV16" s="65">
        <f t="shared" si="0"/>
        <v>0</v>
      </c>
      <c r="AW16" s="65">
        <f t="shared" si="0"/>
        <v>124908</v>
      </c>
      <c r="AX16" s="65">
        <f t="shared" si="0"/>
        <v>4311</v>
      </c>
      <c r="AY16" s="65">
        <f t="shared" si="0"/>
        <v>12500</v>
      </c>
      <c r="AZ16" s="72"/>
    </row>
    <row r="17" spans="1:52" s="2" customFormat="1" ht="131.25">
      <c r="A17" s="50" t="s">
        <v>38</v>
      </c>
      <c r="B17" s="51" t="s">
        <v>1151</v>
      </c>
      <c r="C17" s="65">
        <f>SUM(C18:C19)</f>
        <v>302672</v>
      </c>
      <c r="D17" s="65">
        <f t="shared" ref="D17:AY17" si="1">SUM(D18:D19)</f>
        <v>275156</v>
      </c>
      <c r="E17" s="65">
        <f t="shared" si="1"/>
        <v>250142</v>
      </c>
      <c r="F17" s="65">
        <f t="shared" si="1"/>
        <v>0</v>
      </c>
      <c r="G17" s="65">
        <f t="shared" si="1"/>
        <v>25014</v>
      </c>
      <c r="H17" s="65">
        <f t="shared" si="1"/>
        <v>25014</v>
      </c>
      <c r="I17" s="65">
        <f t="shared" si="1"/>
        <v>2502</v>
      </c>
      <c r="J17" s="65">
        <f t="shared" si="1"/>
        <v>179022</v>
      </c>
      <c r="K17" s="65">
        <f t="shared" si="1"/>
        <v>151723</v>
      </c>
      <c r="L17" s="65">
        <f t="shared" si="1"/>
        <v>0</v>
      </c>
      <c r="M17" s="65">
        <f t="shared" si="1"/>
        <v>11024</v>
      </c>
      <c r="N17" s="65">
        <f t="shared" si="1"/>
        <v>15172</v>
      </c>
      <c r="O17" s="65">
        <f t="shared" si="1"/>
        <v>1103</v>
      </c>
      <c r="P17" s="65">
        <f t="shared" si="1"/>
        <v>12127</v>
      </c>
      <c r="Q17" s="65">
        <f t="shared" si="1"/>
        <v>0</v>
      </c>
      <c r="R17" s="65">
        <f t="shared" si="1"/>
        <v>0</v>
      </c>
      <c r="S17" s="65">
        <f t="shared" si="1"/>
        <v>11024</v>
      </c>
      <c r="T17" s="65">
        <f t="shared" si="1"/>
        <v>0</v>
      </c>
      <c r="U17" s="65">
        <f t="shared" si="1"/>
        <v>1103</v>
      </c>
      <c r="V17" s="65">
        <f t="shared" si="1"/>
        <v>15077</v>
      </c>
      <c r="W17" s="65">
        <f t="shared" si="1"/>
        <v>11400</v>
      </c>
      <c r="X17" s="65">
        <f t="shared" si="1"/>
        <v>0</v>
      </c>
      <c r="Y17" s="65">
        <f t="shared" si="1"/>
        <v>0</v>
      </c>
      <c r="Z17" s="65">
        <f t="shared" si="1"/>
        <v>3677</v>
      </c>
      <c r="AA17" s="65">
        <f t="shared" si="1"/>
        <v>0</v>
      </c>
      <c r="AB17" s="65">
        <f t="shared" si="1"/>
        <v>9213</v>
      </c>
      <c r="AC17" s="65">
        <f t="shared" si="1"/>
        <v>8302</v>
      </c>
      <c r="AD17" s="65">
        <f t="shared" si="1"/>
        <v>0</v>
      </c>
      <c r="AE17" s="65">
        <f t="shared" si="1"/>
        <v>0</v>
      </c>
      <c r="AF17" s="65">
        <f t="shared" si="1"/>
        <v>911</v>
      </c>
      <c r="AG17" s="65">
        <f t="shared" si="1"/>
        <v>0</v>
      </c>
      <c r="AH17" s="65">
        <f t="shared" si="1"/>
        <v>70393</v>
      </c>
      <c r="AI17" s="65">
        <f t="shared" si="1"/>
        <v>56152</v>
      </c>
      <c r="AJ17" s="65">
        <f t="shared" si="1"/>
        <v>0</v>
      </c>
      <c r="AK17" s="65">
        <f t="shared" si="1"/>
        <v>7842</v>
      </c>
      <c r="AL17" s="65">
        <f t="shared" si="1"/>
        <v>5615</v>
      </c>
      <c r="AM17" s="65">
        <f t="shared" si="1"/>
        <v>784</v>
      </c>
      <c r="AN17" s="65">
        <f t="shared" si="1"/>
        <v>40644</v>
      </c>
      <c r="AO17" s="65">
        <f t="shared" si="1"/>
        <v>38685</v>
      </c>
      <c r="AP17" s="65">
        <f t="shared" si="1"/>
        <v>0</v>
      </c>
      <c r="AQ17" s="65">
        <f t="shared" si="1"/>
        <v>0</v>
      </c>
      <c r="AR17" s="65">
        <f t="shared" si="1"/>
        <v>1959</v>
      </c>
      <c r="AS17" s="65">
        <f t="shared" si="1"/>
        <v>0</v>
      </c>
      <c r="AT17" s="65">
        <f t="shared" si="1"/>
        <v>51005</v>
      </c>
      <c r="AU17" s="65">
        <f t="shared" si="1"/>
        <v>38525</v>
      </c>
      <c r="AV17" s="65">
        <f t="shared" si="1"/>
        <v>0</v>
      </c>
      <c r="AW17" s="65">
        <f t="shared" si="1"/>
        <v>7842</v>
      </c>
      <c r="AX17" s="65">
        <f t="shared" si="1"/>
        <v>3854</v>
      </c>
      <c r="AY17" s="65">
        <f t="shared" si="1"/>
        <v>784</v>
      </c>
      <c r="AZ17" s="72"/>
    </row>
    <row r="18" spans="1:52" ht="112.5">
      <c r="A18" s="58" t="s">
        <v>13</v>
      </c>
      <c r="B18" s="47" t="s">
        <v>1152</v>
      </c>
      <c r="C18" s="135">
        <v>205922</v>
      </c>
      <c r="D18" s="135">
        <v>187202</v>
      </c>
      <c r="E18" s="135">
        <v>170184</v>
      </c>
      <c r="F18" s="135"/>
      <c r="G18" s="131">
        <v>17018</v>
      </c>
      <c r="H18" s="131">
        <v>17018</v>
      </c>
      <c r="I18" s="131">
        <v>1702</v>
      </c>
      <c r="J18" s="132">
        <v>111297</v>
      </c>
      <c r="K18" s="132">
        <v>95752</v>
      </c>
      <c r="L18" s="132"/>
      <c r="M18" s="132">
        <v>5427</v>
      </c>
      <c r="N18" s="132">
        <v>9575</v>
      </c>
      <c r="O18" s="132">
        <v>543</v>
      </c>
      <c r="P18" s="132">
        <v>5970</v>
      </c>
      <c r="Q18" s="132"/>
      <c r="R18" s="132"/>
      <c r="S18" s="132">
        <v>5427</v>
      </c>
      <c r="T18" s="132"/>
      <c r="U18" s="132">
        <v>543</v>
      </c>
      <c r="V18" s="132">
        <v>1659</v>
      </c>
      <c r="W18" s="132">
        <v>871</v>
      </c>
      <c r="X18" s="132"/>
      <c r="Y18" s="132">
        <v>0</v>
      </c>
      <c r="Z18" s="132">
        <v>788</v>
      </c>
      <c r="AA18" s="132">
        <v>0</v>
      </c>
      <c r="AB18" s="132">
        <v>168</v>
      </c>
      <c r="AC18" s="132">
        <v>88</v>
      </c>
      <c r="AD18" s="132"/>
      <c r="AE18" s="132"/>
      <c r="AF18" s="132">
        <v>80</v>
      </c>
      <c r="AG18" s="132"/>
      <c r="AH18" s="132">
        <v>56754</v>
      </c>
      <c r="AI18" s="132">
        <v>46152</v>
      </c>
      <c r="AJ18" s="132"/>
      <c r="AK18" s="132">
        <v>5443</v>
      </c>
      <c r="AL18" s="132">
        <v>4615</v>
      </c>
      <c r="AM18" s="132">
        <v>544</v>
      </c>
      <c r="AN18" s="132">
        <v>34776</v>
      </c>
      <c r="AO18" s="132">
        <v>33073</v>
      </c>
      <c r="AP18" s="132"/>
      <c r="AQ18" s="132"/>
      <c r="AR18" s="132">
        <v>1703</v>
      </c>
      <c r="AS18" s="132"/>
      <c r="AT18" s="132">
        <v>32980</v>
      </c>
      <c r="AU18" s="132">
        <v>24538</v>
      </c>
      <c r="AV18" s="132"/>
      <c r="AW18" s="132">
        <v>5443</v>
      </c>
      <c r="AX18" s="132">
        <v>2455</v>
      </c>
      <c r="AY18" s="132">
        <v>544</v>
      </c>
      <c r="AZ18" s="47" t="s">
        <v>1153</v>
      </c>
    </row>
    <row r="19" spans="1:52" ht="150">
      <c r="A19" s="58" t="s">
        <v>0</v>
      </c>
      <c r="B19" s="47" t="s">
        <v>1154</v>
      </c>
      <c r="C19" s="135">
        <v>96750</v>
      </c>
      <c r="D19" s="135">
        <v>87954</v>
      </c>
      <c r="E19" s="135">
        <v>79958</v>
      </c>
      <c r="F19" s="135"/>
      <c r="G19" s="131">
        <v>7996</v>
      </c>
      <c r="H19" s="131">
        <v>7996</v>
      </c>
      <c r="I19" s="131">
        <v>800</v>
      </c>
      <c r="J19" s="132">
        <v>67725</v>
      </c>
      <c r="K19" s="132">
        <v>55971</v>
      </c>
      <c r="L19" s="132"/>
      <c r="M19" s="132">
        <v>5597</v>
      </c>
      <c r="N19" s="132">
        <v>5597</v>
      </c>
      <c r="O19" s="132">
        <v>560</v>
      </c>
      <c r="P19" s="132">
        <v>6157</v>
      </c>
      <c r="Q19" s="132"/>
      <c r="R19" s="132"/>
      <c r="S19" s="132">
        <v>5597</v>
      </c>
      <c r="T19" s="132"/>
      <c r="U19" s="132">
        <v>560</v>
      </c>
      <c r="V19" s="132">
        <v>13418</v>
      </c>
      <c r="W19" s="132">
        <v>10529</v>
      </c>
      <c r="X19" s="132"/>
      <c r="Y19" s="132">
        <v>0</v>
      </c>
      <c r="Z19" s="132">
        <v>2889</v>
      </c>
      <c r="AA19" s="132">
        <v>0</v>
      </c>
      <c r="AB19" s="132">
        <v>9045</v>
      </c>
      <c r="AC19" s="132">
        <v>8214</v>
      </c>
      <c r="AD19" s="132"/>
      <c r="AE19" s="132"/>
      <c r="AF19" s="132">
        <v>831</v>
      </c>
      <c r="AG19" s="132"/>
      <c r="AH19" s="132">
        <v>13639</v>
      </c>
      <c r="AI19" s="132">
        <v>10000</v>
      </c>
      <c r="AJ19" s="132"/>
      <c r="AK19" s="132">
        <v>2399</v>
      </c>
      <c r="AL19" s="132">
        <v>1000</v>
      </c>
      <c r="AM19" s="132">
        <v>240</v>
      </c>
      <c r="AN19" s="132">
        <v>5868</v>
      </c>
      <c r="AO19" s="132">
        <v>5612</v>
      </c>
      <c r="AP19" s="132"/>
      <c r="AQ19" s="132"/>
      <c r="AR19" s="132">
        <v>256</v>
      </c>
      <c r="AS19" s="132"/>
      <c r="AT19" s="132">
        <v>18025</v>
      </c>
      <c r="AU19" s="132">
        <v>13987</v>
      </c>
      <c r="AV19" s="132"/>
      <c r="AW19" s="132">
        <v>2399</v>
      </c>
      <c r="AX19" s="132">
        <v>1399</v>
      </c>
      <c r="AY19" s="132">
        <v>240</v>
      </c>
      <c r="AZ19" s="47" t="s">
        <v>1153</v>
      </c>
    </row>
    <row r="20" spans="1:52" s="2" customFormat="1" ht="93.75">
      <c r="A20" s="50" t="s">
        <v>43</v>
      </c>
      <c r="B20" s="51" t="s">
        <v>1155</v>
      </c>
      <c r="C20" s="65">
        <v>129616</v>
      </c>
      <c r="D20" s="65"/>
      <c r="E20" s="65"/>
      <c r="F20" s="65"/>
      <c r="G20" s="130"/>
      <c r="H20" s="130">
        <v>117833</v>
      </c>
      <c r="I20" s="130">
        <v>11783</v>
      </c>
      <c r="J20" s="134">
        <v>48816</v>
      </c>
      <c r="K20" s="134">
        <v>0</v>
      </c>
      <c r="L20" s="134"/>
      <c r="M20" s="134">
        <v>44455</v>
      </c>
      <c r="N20" s="134">
        <v>0</v>
      </c>
      <c r="O20" s="134">
        <v>4361</v>
      </c>
      <c r="P20" s="134">
        <v>30316</v>
      </c>
      <c r="Q20" s="134"/>
      <c r="R20" s="134"/>
      <c r="S20" s="134">
        <v>27678</v>
      </c>
      <c r="T20" s="134"/>
      <c r="U20" s="134">
        <v>2638</v>
      </c>
      <c r="V20" s="134">
        <v>17650</v>
      </c>
      <c r="W20" s="134"/>
      <c r="X20" s="134"/>
      <c r="Y20" s="134">
        <v>16310</v>
      </c>
      <c r="Z20" s="134"/>
      <c r="AA20" s="134">
        <v>1340</v>
      </c>
      <c r="AB20" s="134">
        <v>6178</v>
      </c>
      <c r="AC20" s="134"/>
      <c r="AD20" s="134"/>
      <c r="AE20" s="134">
        <v>5616</v>
      </c>
      <c r="AF20" s="134"/>
      <c r="AG20" s="134">
        <v>562</v>
      </c>
      <c r="AH20" s="134">
        <v>40477</v>
      </c>
      <c r="AI20" s="134"/>
      <c r="AJ20" s="134"/>
      <c r="AK20" s="134">
        <v>36797</v>
      </c>
      <c r="AL20" s="134"/>
      <c r="AM20" s="134">
        <v>3680</v>
      </c>
      <c r="AN20" s="134">
        <v>4623</v>
      </c>
      <c r="AO20" s="134"/>
      <c r="AP20" s="134"/>
      <c r="AQ20" s="134">
        <v>4203</v>
      </c>
      <c r="AR20" s="134"/>
      <c r="AS20" s="134">
        <v>420</v>
      </c>
      <c r="AT20" s="134">
        <v>33000</v>
      </c>
      <c r="AU20" s="134"/>
      <c r="AV20" s="134"/>
      <c r="AW20" s="134">
        <v>30000</v>
      </c>
      <c r="AX20" s="134"/>
      <c r="AY20" s="134">
        <v>3000</v>
      </c>
      <c r="AZ20" s="51" t="s">
        <v>1156</v>
      </c>
    </row>
    <row r="21" spans="1:52" s="2" customFormat="1" ht="56.25">
      <c r="A21" s="50" t="s">
        <v>121</v>
      </c>
      <c r="B21" s="51" t="s">
        <v>1157</v>
      </c>
      <c r="C21" s="65">
        <f>SUM(C22:C23)</f>
        <v>72388</v>
      </c>
      <c r="D21" s="65">
        <f t="shared" ref="D21:AY21" si="2">SUM(D22:D23)</f>
        <v>0</v>
      </c>
      <c r="E21" s="65">
        <f t="shared" si="2"/>
        <v>0</v>
      </c>
      <c r="F21" s="65">
        <f t="shared" si="2"/>
        <v>0</v>
      </c>
      <c r="G21" s="65">
        <f t="shared" si="2"/>
        <v>0</v>
      </c>
      <c r="H21" s="65">
        <f t="shared" si="2"/>
        <v>65807</v>
      </c>
      <c r="I21" s="65">
        <f t="shared" si="2"/>
        <v>6581</v>
      </c>
      <c r="J21" s="65">
        <f t="shared" si="2"/>
        <v>25775</v>
      </c>
      <c r="K21" s="65">
        <f t="shared" si="2"/>
        <v>0</v>
      </c>
      <c r="L21" s="65">
        <f t="shared" si="2"/>
        <v>0</v>
      </c>
      <c r="M21" s="65">
        <f t="shared" si="2"/>
        <v>23432</v>
      </c>
      <c r="N21" s="65">
        <f t="shared" si="2"/>
        <v>0</v>
      </c>
      <c r="O21" s="65">
        <f t="shared" si="2"/>
        <v>2343</v>
      </c>
      <c r="P21" s="65">
        <f t="shared" si="2"/>
        <v>13225</v>
      </c>
      <c r="Q21" s="65">
        <f t="shared" si="2"/>
        <v>0</v>
      </c>
      <c r="R21" s="65">
        <f t="shared" si="2"/>
        <v>0</v>
      </c>
      <c r="S21" s="65">
        <f t="shared" si="2"/>
        <v>12445</v>
      </c>
      <c r="T21" s="65">
        <f t="shared" si="2"/>
        <v>0</v>
      </c>
      <c r="U21" s="65">
        <f t="shared" si="2"/>
        <v>780</v>
      </c>
      <c r="V21" s="65">
        <f t="shared" si="2"/>
        <v>11235</v>
      </c>
      <c r="W21" s="65">
        <f t="shared" si="2"/>
        <v>0</v>
      </c>
      <c r="X21" s="65">
        <f t="shared" si="2"/>
        <v>0</v>
      </c>
      <c r="Y21" s="65">
        <f t="shared" si="2"/>
        <v>9944</v>
      </c>
      <c r="Z21" s="65">
        <f t="shared" si="2"/>
        <v>0</v>
      </c>
      <c r="AA21" s="65">
        <f t="shared" si="2"/>
        <v>1291</v>
      </c>
      <c r="AB21" s="65">
        <f t="shared" si="2"/>
        <v>0</v>
      </c>
      <c r="AC21" s="65">
        <f t="shared" si="2"/>
        <v>0</v>
      </c>
      <c r="AD21" s="65">
        <f t="shared" si="2"/>
        <v>0</v>
      </c>
      <c r="AE21" s="65">
        <f t="shared" si="2"/>
        <v>0</v>
      </c>
      <c r="AF21" s="65">
        <f t="shared" si="2"/>
        <v>0</v>
      </c>
      <c r="AG21" s="65">
        <f t="shared" si="2"/>
        <v>0</v>
      </c>
      <c r="AH21" s="65">
        <f t="shared" si="2"/>
        <v>23123</v>
      </c>
      <c r="AI21" s="65">
        <f t="shared" si="2"/>
        <v>0</v>
      </c>
      <c r="AJ21" s="65">
        <f t="shared" si="2"/>
        <v>0</v>
      </c>
      <c r="AK21" s="65">
        <f t="shared" si="2"/>
        <v>21021</v>
      </c>
      <c r="AL21" s="65">
        <f t="shared" si="2"/>
        <v>0</v>
      </c>
      <c r="AM21" s="65">
        <f t="shared" si="2"/>
        <v>2102</v>
      </c>
      <c r="AN21" s="65">
        <f t="shared" si="2"/>
        <v>0</v>
      </c>
      <c r="AO21" s="65">
        <f t="shared" si="2"/>
        <v>0</v>
      </c>
      <c r="AP21" s="65">
        <f t="shared" si="2"/>
        <v>0</v>
      </c>
      <c r="AQ21" s="65">
        <f t="shared" si="2"/>
        <v>0</v>
      </c>
      <c r="AR21" s="65">
        <f t="shared" si="2"/>
        <v>0</v>
      </c>
      <c r="AS21" s="65">
        <f t="shared" si="2"/>
        <v>0</v>
      </c>
      <c r="AT21" s="65">
        <f t="shared" si="2"/>
        <v>23123</v>
      </c>
      <c r="AU21" s="65">
        <f t="shared" si="2"/>
        <v>0</v>
      </c>
      <c r="AV21" s="65">
        <f t="shared" si="2"/>
        <v>0</v>
      </c>
      <c r="AW21" s="65">
        <f t="shared" si="2"/>
        <v>21021</v>
      </c>
      <c r="AX21" s="65">
        <f t="shared" si="2"/>
        <v>0</v>
      </c>
      <c r="AY21" s="65">
        <f t="shared" si="2"/>
        <v>2102</v>
      </c>
      <c r="AZ21" s="72"/>
    </row>
    <row r="22" spans="1:52" ht="75">
      <c r="A22" s="58" t="s">
        <v>13</v>
      </c>
      <c r="B22" s="47" t="s">
        <v>1158</v>
      </c>
      <c r="C22" s="135">
        <v>54879</v>
      </c>
      <c r="D22" s="135"/>
      <c r="E22" s="135"/>
      <c r="F22" s="135"/>
      <c r="G22" s="131"/>
      <c r="H22" s="131">
        <v>49890</v>
      </c>
      <c r="I22" s="131">
        <v>4989</v>
      </c>
      <c r="J22" s="132">
        <v>21048</v>
      </c>
      <c r="K22" s="132"/>
      <c r="L22" s="132"/>
      <c r="M22" s="132">
        <v>19135</v>
      </c>
      <c r="N22" s="132"/>
      <c r="O22" s="132">
        <v>1913</v>
      </c>
      <c r="P22" s="132">
        <v>11079</v>
      </c>
      <c r="Q22" s="132"/>
      <c r="R22" s="132"/>
      <c r="S22" s="132">
        <v>10368</v>
      </c>
      <c r="T22" s="132"/>
      <c r="U22" s="132">
        <v>711</v>
      </c>
      <c r="V22" s="132">
        <v>8654</v>
      </c>
      <c r="W22" s="132"/>
      <c r="X22" s="132"/>
      <c r="Y22" s="132">
        <v>7724</v>
      </c>
      <c r="Z22" s="132"/>
      <c r="AA22" s="132">
        <v>930</v>
      </c>
      <c r="AB22" s="132">
        <v>0</v>
      </c>
      <c r="AC22" s="132"/>
      <c r="AD22" s="132"/>
      <c r="AE22" s="132"/>
      <c r="AF22" s="132"/>
      <c r="AG22" s="132"/>
      <c r="AH22" s="132">
        <v>16732</v>
      </c>
      <c r="AI22" s="132"/>
      <c r="AJ22" s="132"/>
      <c r="AK22" s="132">
        <v>15211</v>
      </c>
      <c r="AL22" s="132"/>
      <c r="AM22" s="132">
        <v>1521</v>
      </c>
      <c r="AN22" s="132">
        <v>0</v>
      </c>
      <c r="AO22" s="132"/>
      <c r="AP22" s="132"/>
      <c r="AQ22" s="132"/>
      <c r="AR22" s="132"/>
      <c r="AS22" s="132"/>
      <c r="AT22" s="132">
        <v>16732</v>
      </c>
      <c r="AU22" s="132"/>
      <c r="AV22" s="132"/>
      <c r="AW22" s="132">
        <v>15211</v>
      </c>
      <c r="AX22" s="132"/>
      <c r="AY22" s="132">
        <v>1521</v>
      </c>
      <c r="AZ22" s="47" t="s">
        <v>1159</v>
      </c>
    </row>
    <row r="23" spans="1:52" ht="56.25">
      <c r="A23" s="58" t="s">
        <v>0</v>
      </c>
      <c r="B23" s="47" t="s">
        <v>1160</v>
      </c>
      <c r="C23" s="135">
        <v>17509</v>
      </c>
      <c r="D23" s="135"/>
      <c r="E23" s="135"/>
      <c r="F23" s="135"/>
      <c r="G23" s="131"/>
      <c r="H23" s="131">
        <v>15917</v>
      </c>
      <c r="I23" s="131">
        <v>1592</v>
      </c>
      <c r="J23" s="132">
        <v>4727</v>
      </c>
      <c r="K23" s="132"/>
      <c r="L23" s="132"/>
      <c r="M23" s="132">
        <v>4297</v>
      </c>
      <c r="N23" s="132"/>
      <c r="O23" s="132">
        <v>430</v>
      </c>
      <c r="P23" s="132">
        <v>2146</v>
      </c>
      <c r="Q23" s="132"/>
      <c r="R23" s="132"/>
      <c r="S23" s="132">
        <v>2077</v>
      </c>
      <c r="T23" s="132"/>
      <c r="U23" s="132">
        <v>69</v>
      </c>
      <c r="V23" s="132">
        <v>2581</v>
      </c>
      <c r="W23" s="132"/>
      <c r="X23" s="132"/>
      <c r="Y23" s="132">
        <v>2220</v>
      </c>
      <c r="Z23" s="132"/>
      <c r="AA23" s="132">
        <v>361</v>
      </c>
      <c r="AB23" s="132">
        <v>0</v>
      </c>
      <c r="AC23" s="132"/>
      <c r="AD23" s="132"/>
      <c r="AE23" s="132"/>
      <c r="AF23" s="132"/>
      <c r="AG23" s="132"/>
      <c r="AH23" s="132">
        <v>6391</v>
      </c>
      <c r="AI23" s="132"/>
      <c r="AJ23" s="132"/>
      <c r="AK23" s="132">
        <v>5810</v>
      </c>
      <c r="AL23" s="132"/>
      <c r="AM23" s="132">
        <v>581</v>
      </c>
      <c r="AN23" s="132">
        <v>0</v>
      </c>
      <c r="AO23" s="132"/>
      <c r="AP23" s="132"/>
      <c r="AQ23" s="132"/>
      <c r="AR23" s="132"/>
      <c r="AS23" s="132"/>
      <c r="AT23" s="132">
        <v>6391</v>
      </c>
      <c r="AU23" s="132"/>
      <c r="AV23" s="132"/>
      <c r="AW23" s="132">
        <v>5810</v>
      </c>
      <c r="AX23" s="132"/>
      <c r="AY23" s="132">
        <v>581</v>
      </c>
      <c r="AZ23" s="47" t="s">
        <v>1161</v>
      </c>
    </row>
    <row r="24" spans="1:52" s="2" customFormat="1" ht="56.25">
      <c r="A24" s="50" t="s">
        <v>1162</v>
      </c>
      <c r="B24" s="51" t="s">
        <v>1134</v>
      </c>
      <c r="C24" s="65">
        <f>SUM(C25:C27)</f>
        <v>253431</v>
      </c>
      <c r="D24" s="65">
        <f t="shared" ref="D24:AY24" si="3">SUM(D25:D27)</f>
        <v>89144</v>
      </c>
      <c r="E24" s="65">
        <f t="shared" si="3"/>
        <v>89144</v>
      </c>
      <c r="F24" s="65">
        <f t="shared" si="3"/>
        <v>0</v>
      </c>
      <c r="G24" s="65">
        <f t="shared" si="3"/>
        <v>8915</v>
      </c>
      <c r="H24" s="65">
        <f t="shared" si="3"/>
        <v>142611</v>
      </c>
      <c r="I24" s="65">
        <f t="shared" si="3"/>
        <v>14262</v>
      </c>
      <c r="J24" s="65">
        <f t="shared" si="3"/>
        <v>116744.1</v>
      </c>
      <c r="K24" s="65">
        <f t="shared" si="3"/>
        <v>45412</v>
      </c>
      <c r="L24" s="65">
        <f t="shared" si="3"/>
        <v>0</v>
      </c>
      <c r="M24" s="65">
        <f t="shared" si="3"/>
        <v>60718</v>
      </c>
      <c r="N24" s="65">
        <f t="shared" si="3"/>
        <v>4541.1000000000004</v>
      </c>
      <c r="O24" s="65">
        <f t="shared" si="3"/>
        <v>6073</v>
      </c>
      <c r="P24" s="65">
        <f t="shared" si="3"/>
        <v>78972.5</v>
      </c>
      <c r="Q24" s="65">
        <f t="shared" si="3"/>
        <v>34156</v>
      </c>
      <c r="R24" s="65">
        <f t="shared" si="3"/>
        <v>0</v>
      </c>
      <c r="S24" s="65">
        <f t="shared" si="3"/>
        <v>39875.5</v>
      </c>
      <c r="T24" s="65">
        <f t="shared" si="3"/>
        <v>1656</v>
      </c>
      <c r="U24" s="65">
        <f t="shared" si="3"/>
        <v>3285</v>
      </c>
      <c r="V24" s="65">
        <f t="shared" si="3"/>
        <v>32216.3</v>
      </c>
      <c r="W24" s="65">
        <f t="shared" si="3"/>
        <v>11256.2</v>
      </c>
      <c r="X24" s="65">
        <f t="shared" si="3"/>
        <v>0</v>
      </c>
      <c r="Y24" s="65">
        <f t="shared" si="3"/>
        <v>16007</v>
      </c>
      <c r="Z24" s="65">
        <f t="shared" si="3"/>
        <v>2885.1</v>
      </c>
      <c r="AA24" s="65">
        <f t="shared" si="3"/>
        <v>2068</v>
      </c>
      <c r="AB24" s="65">
        <f t="shared" si="3"/>
        <v>12276</v>
      </c>
      <c r="AC24" s="65">
        <f t="shared" si="3"/>
        <v>10175</v>
      </c>
      <c r="AD24" s="65">
        <f t="shared" si="3"/>
        <v>0</v>
      </c>
      <c r="AE24" s="65">
        <f t="shared" si="3"/>
        <v>2032</v>
      </c>
      <c r="AF24" s="65">
        <f t="shared" si="3"/>
        <v>69</v>
      </c>
      <c r="AG24" s="65">
        <f t="shared" si="3"/>
        <v>0</v>
      </c>
      <c r="AH24" s="65">
        <f t="shared" si="3"/>
        <v>89565</v>
      </c>
      <c r="AI24" s="65">
        <f t="shared" si="3"/>
        <v>39165</v>
      </c>
      <c r="AJ24" s="65">
        <f t="shared" si="3"/>
        <v>0</v>
      </c>
      <c r="AK24" s="65">
        <f t="shared" si="3"/>
        <v>42257</v>
      </c>
      <c r="AL24" s="65">
        <f t="shared" si="3"/>
        <v>3917</v>
      </c>
      <c r="AM24" s="65">
        <f t="shared" si="3"/>
        <v>4226</v>
      </c>
      <c r="AN24" s="65">
        <f t="shared" si="3"/>
        <v>1267.4000000000001</v>
      </c>
      <c r="AO24" s="65">
        <f t="shared" si="3"/>
        <v>904</v>
      </c>
      <c r="AP24" s="65">
        <f t="shared" si="3"/>
        <v>0</v>
      </c>
      <c r="AQ24" s="65">
        <f t="shared" si="3"/>
        <v>363.4</v>
      </c>
      <c r="AR24" s="65">
        <f t="shared" si="3"/>
        <v>0</v>
      </c>
      <c r="AS24" s="65">
        <f t="shared" si="3"/>
        <v>0</v>
      </c>
      <c r="AT24" s="65">
        <f t="shared" si="3"/>
        <v>33479</v>
      </c>
      <c r="AU24" s="65">
        <f t="shared" si="3"/>
        <v>4567</v>
      </c>
      <c r="AV24" s="65">
        <f t="shared" si="3"/>
        <v>0</v>
      </c>
      <c r="AW24" s="65">
        <f t="shared" si="3"/>
        <v>25868</v>
      </c>
      <c r="AX24" s="65">
        <f t="shared" si="3"/>
        <v>457</v>
      </c>
      <c r="AY24" s="65">
        <f t="shared" si="3"/>
        <v>2587</v>
      </c>
      <c r="AZ24" s="72"/>
    </row>
    <row r="25" spans="1:52" ht="56.25">
      <c r="A25" s="58" t="s">
        <v>13</v>
      </c>
      <c r="B25" s="47" t="s">
        <v>1135</v>
      </c>
      <c r="C25" s="135">
        <v>199796</v>
      </c>
      <c r="D25" s="135">
        <v>74136</v>
      </c>
      <c r="E25" s="135">
        <v>74136</v>
      </c>
      <c r="F25" s="135"/>
      <c r="G25" s="131">
        <v>7414</v>
      </c>
      <c r="H25" s="131">
        <v>107496</v>
      </c>
      <c r="I25" s="131">
        <v>10750</v>
      </c>
      <c r="J25" s="132">
        <v>96226.1</v>
      </c>
      <c r="K25" s="132">
        <v>39541</v>
      </c>
      <c r="L25" s="132"/>
      <c r="M25" s="132">
        <v>47937</v>
      </c>
      <c r="N25" s="132">
        <v>3954.1</v>
      </c>
      <c r="O25" s="132">
        <v>4794</v>
      </c>
      <c r="P25" s="132">
        <v>67029</v>
      </c>
      <c r="Q25" s="132">
        <v>29366</v>
      </c>
      <c r="R25" s="132"/>
      <c r="S25" s="132">
        <v>32852</v>
      </c>
      <c r="T25" s="132">
        <v>1526</v>
      </c>
      <c r="U25" s="132">
        <v>3285</v>
      </c>
      <c r="V25" s="132">
        <v>25113.1</v>
      </c>
      <c r="W25" s="132">
        <v>10175</v>
      </c>
      <c r="X25" s="132">
        <v>0</v>
      </c>
      <c r="Y25" s="132">
        <v>11373</v>
      </c>
      <c r="Z25" s="132">
        <v>2428.1</v>
      </c>
      <c r="AA25" s="132">
        <v>1137</v>
      </c>
      <c r="AB25" s="132">
        <v>12276</v>
      </c>
      <c r="AC25" s="132">
        <v>10175</v>
      </c>
      <c r="AD25" s="132"/>
      <c r="AE25" s="132">
        <v>2032</v>
      </c>
      <c r="AF25" s="132">
        <v>69</v>
      </c>
      <c r="AG25" s="132"/>
      <c r="AH25" s="132">
        <v>72225</v>
      </c>
      <c r="AI25" s="132">
        <v>34595</v>
      </c>
      <c r="AJ25" s="132"/>
      <c r="AK25" s="132">
        <v>31064</v>
      </c>
      <c r="AL25" s="132">
        <v>3460</v>
      </c>
      <c r="AM25" s="132">
        <v>3106</v>
      </c>
      <c r="AN25" s="132">
        <v>904</v>
      </c>
      <c r="AO25" s="132">
        <v>904</v>
      </c>
      <c r="AP25" s="132"/>
      <c r="AQ25" s="132"/>
      <c r="AR25" s="132"/>
      <c r="AS25" s="132"/>
      <c r="AT25" s="132">
        <v>16200</v>
      </c>
      <c r="AU25" s="132">
        <v>0</v>
      </c>
      <c r="AV25" s="132"/>
      <c r="AW25" s="132">
        <v>14727</v>
      </c>
      <c r="AX25" s="132">
        <v>0</v>
      </c>
      <c r="AY25" s="132">
        <v>1473</v>
      </c>
      <c r="AZ25" s="47" t="s">
        <v>1163</v>
      </c>
    </row>
    <row r="26" spans="1:52" ht="112.5">
      <c r="A26" s="58" t="s">
        <v>0</v>
      </c>
      <c r="B26" s="47" t="s">
        <v>1164</v>
      </c>
      <c r="C26" s="135">
        <v>2651</v>
      </c>
      <c r="D26" s="135"/>
      <c r="E26" s="135"/>
      <c r="F26" s="135"/>
      <c r="G26" s="131"/>
      <c r="H26" s="131">
        <v>2410</v>
      </c>
      <c r="I26" s="131">
        <v>241</v>
      </c>
      <c r="J26" s="132">
        <v>1050</v>
      </c>
      <c r="K26" s="132"/>
      <c r="L26" s="132"/>
      <c r="M26" s="132">
        <v>954</v>
      </c>
      <c r="N26" s="132"/>
      <c r="O26" s="132">
        <v>96</v>
      </c>
      <c r="P26" s="132">
        <v>98</v>
      </c>
      <c r="Q26" s="132"/>
      <c r="R26" s="132"/>
      <c r="S26" s="132">
        <v>98</v>
      </c>
      <c r="T26" s="132"/>
      <c r="U26" s="132">
        <v>0</v>
      </c>
      <c r="V26" s="132">
        <v>929</v>
      </c>
      <c r="W26" s="132"/>
      <c r="X26" s="132"/>
      <c r="Y26" s="132">
        <v>856</v>
      </c>
      <c r="Z26" s="132"/>
      <c r="AA26" s="132">
        <v>73</v>
      </c>
      <c r="AB26" s="132">
        <v>0</v>
      </c>
      <c r="AC26" s="132"/>
      <c r="AD26" s="132"/>
      <c r="AE26" s="132"/>
      <c r="AF26" s="132"/>
      <c r="AG26" s="132"/>
      <c r="AH26" s="132">
        <v>802</v>
      </c>
      <c r="AI26" s="132"/>
      <c r="AJ26" s="132"/>
      <c r="AK26" s="132">
        <v>729</v>
      </c>
      <c r="AL26" s="132"/>
      <c r="AM26" s="132">
        <v>73</v>
      </c>
      <c r="AN26" s="132">
        <v>0</v>
      </c>
      <c r="AO26" s="132"/>
      <c r="AP26" s="132"/>
      <c r="AQ26" s="132"/>
      <c r="AR26" s="132"/>
      <c r="AS26" s="132"/>
      <c r="AT26" s="132">
        <v>800</v>
      </c>
      <c r="AU26" s="132"/>
      <c r="AV26" s="132"/>
      <c r="AW26" s="132">
        <v>727</v>
      </c>
      <c r="AX26" s="132"/>
      <c r="AY26" s="132">
        <v>73</v>
      </c>
      <c r="AZ26" s="47" t="s">
        <v>1161</v>
      </c>
    </row>
    <row r="27" spans="1:52" ht="56.25">
      <c r="A27" s="58" t="s">
        <v>13</v>
      </c>
      <c r="B27" s="47" t="s">
        <v>1145</v>
      </c>
      <c r="C27" s="135">
        <v>50984</v>
      </c>
      <c r="D27" s="135">
        <v>15008</v>
      </c>
      <c r="E27" s="135">
        <v>15008</v>
      </c>
      <c r="F27" s="135"/>
      <c r="G27" s="131">
        <v>1501</v>
      </c>
      <c r="H27" s="131">
        <v>32705</v>
      </c>
      <c r="I27" s="131">
        <v>3271</v>
      </c>
      <c r="J27" s="132">
        <v>19468</v>
      </c>
      <c r="K27" s="132">
        <v>5871</v>
      </c>
      <c r="L27" s="132"/>
      <c r="M27" s="132">
        <v>11827</v>
      </c>
      <c r="N27" s="132">
        <v>587</v>
      </c>
      <c r="O27" s="132">
        <v>1183</v>
      </c>
      <c r="P27" s="132">
        <v>11845.5</v>
      </c>
      <c r="Q27" s="132">
        <v>4790</v>
      </c>
      <c r="R27" s="132"/>
      <c r="S27" s="132">
        <v>6925.5</v>
      </c>
      <c r="T27" s="132">
        <v>130</v>
      </c>
      <c r="U27" s="132"/>
      <c r="V27" s="132">
        <v>6174.2</v>
      </c>
      <c r="W27" s="132">
        <v>1081.2</v>
      </c>
      <c r="X27" s="132"/>
      <c r="Y27" s="132">
        <v>3778</v>
      </c>
      <c r="Z27" s="132">
        <v>457</v>
      </c>
      <c r="AA27" s="132">
        <v>858</v>
      </c>
      <c r="AB27" s="132">
        <v>0</v>
      </c>
      <c r="AC27" s="132"/>
      <c r="AD27" s="132"/>
      <c r="AE27" s="132"/>
      <c r="AF27" s="132"/>
      <c r="AG27" s="132"/>
      <c r="AH27" s="132">
        <v>16538</v>
      </c>
      <c r="AI27" s="132">
        <v>4570</v>
      </c>
      <c r="AJ27" s="132"/>
      <c r="AK27" s="132">
        <v>10464</v>
      </c>
      <c r="AL27" s="132">
        <v>457</v>
      </c>
      <c r="AM27" s="132">
        <v>1047</v>
      </c>
      <c r="AN27" s="132">
        <v>363.4</v>
      </c>
      <c r="AO27" s="132"/>
      <c r="AP27" s="132"/>
      <c r="AQ27" s="132">
        <v>363.4</v>
      </c>
      <c r="AR27" s="132"/>
      <c r="AS27" s="132"/>
      <c r="AT27" s="132">
        <v>16479</v>
      </c>
      <c r="AU27" s="132">
        <v>4567</v>
      </c>
      <c r="AV27" s="132"/>
      <c r="AW27" s="132">
        <v>10414</v>
      </c>
      <c r="AX27" s="132">
        <v>457</v>
      </c>
      <c r="AY27" s="132">
        <v>1041</v>
      </c>
      <c r="AZ27" s="47" t="s">
        <v>1161</v>
      </c>
    </row>
    <row r="28" spans="1:52" s="2" customFormat="1" ht="131.25">
      <c r="A28" s="50" t="s">
        <v>1165</v>
      </c>
      <c r="B28" s="51" t="s">
        <v>1166</v>
      </c>
      <c r="C28" s="65">
        <v>83457</v>
      </c>
      <c r="D28" s="65"/>
      <c r="E28" s="65"/>
      <c r="F28" s="65"/>
      <c r="G28" s="130"/>
      <c r="H28" s="130">
        <v>75870</v>
      </c>
      <c r="I28" s="130">
        <v>7587</v>
      </c>
      <c r="J28" s="134">
        <v>21274</v>
      </c>
      <c r="K28" s="134"/>
      <c r="L28" s="134"/>
      <c r="M28" s="134">
        <v>19340</v>
      </c>
      <c r="N28" s="134"/>
      <c r="O28" s="134">
        <v>1934</v>
      </c>
      <c r="P28" s="134">
        <v>21274</v>
      </c>
      <c r="Q28" s="134"/>
      <c r="R28" s="134"/>
      <c r="S28" s="134">
        <v>19340</v>
      </c>
      <c r="T28" s="134"/>
      <c r="U28" s="134">
        <v>1934</v>
      </c>
      <c r="V28" s="134">
        <v>0</v>
      </c>
      <c r="W28" s="134"/>
      <c r="X28" s="134"/>
      <c r="Y28" s="134">
        <v>0</v>
      </c>
      <c r="Z28" s="134"/>
      <c r="AA28" s="134">
        <v>0</v>
      </c>
      <c r="AB28" s="134">
        <v>0</v>
      </c>
      <c r="AC28" s="134"/>
      <c r="AD28" s="134"/>
      <c r="AE28" s="134">
        <v>0</v>
      </c>
      <c r="AF28" s="134"/>
      <c r="AG28" s="134"/>
      <c r="AH28" s="134">
        <v>31092</v>
      </c>
      <c r="AI28" s="134"/>
      <c r="AJ28" s="134"/>
      <c r="AK28" s="134">
        <v>28265</v>
      </c>
      <c r="AL28" s="134"/>
      <c r="AM28" s="134">
        <v>2827</v>
      </c>
      <c r="AN28" s="134"/>
      <c r="AO28" s="134"/>
      <c r="AP28" s="134"/>
      <c r="AQ28" s="134">
        <v>2465</v>
      </c>
      <c r="AR28" s="134"/>
      <c r="AS28" s="134">
        <v>30</v>
      </c>
      <c r="AT28" s="134">
        <v>22000</v>
      </c>
      <c r="AU28" s="134"/>
      <c r="AV28" s="134"/>
      <c r="AW28" s="134">
        <v>20000</v>
      </c>
      <c r="AX28" s="134"/>
      <c r="AY28" s="134">
        <v>2000</v>
      </c>
      <c r="AZ28" s="51" t="s">
        <v>1153</v>
      </c>
    </row>
    <row r="29" spans="1:52" s="2" customFormat="1" ht="56.25">
      <c r="A29" s="50" t="s">
        <v>1167</v>
      </c>
      <c r="B29" s="51" t="s">
        <v>1168</v>
      </c>
      <c r="C29" s="65">
        <f>SUM(C30:C31)</f>
        <v>31231</v>
      </c>
      <c r="D29" s="65">
        <f t="shared" ref="D29:AY29" si="4">SUM(D30:D31)</f>
        <v>0</v>
      </c>
      <c r="E29" s="65">
        <f t="shared" si="4"/>
        <v>0</v>
      </c>
      <c r="F29" s="65">
        <f t="shared" si="4"/>
        <v>0</v>
      </c>
      <c r="G29" s="65">
        <f t="shared" si="4"/>
        <v>0</v>
      </c>
      <c r="H29" s="65">
        <f t="shared" si="4"/>
        <v>28391</v>
      </c>
      <c r="I29" s="65">
        <f t="shared" si="4"/>
        <v>2840</v>
      </c>
      <c r="J29" s="65">
        <f t="shared" si="4"/>
        <v>13141</v>
      </c>
      <c r="K29" s="65">
        <f t="shared" si="4"/>
        <v>0</v>
      </c>
      <c r="L29" s="65">
        <f t="shared" si="4"/>
        <v>0</v>
      </c>
      <c r="M29" s="65">
        <f t="shared" si="4"/>
        <v>11946</v>
      </c>
      <c r="N29" s="65">
        <f t="shared" si="4"/>
        <v>0</v>
      </c>
      <c r="O29" s="65">
        <f t="shared" si="4"/>
        <v>1195</v>
      </c>
      <c r="P29" s="65">
        <f t="shared" si="4"/>
        <v>2283</v>
      </c>
      <c r="Q29" s="65">
        <f t="shared" si="4"/>
        <v>0</v>
      </c>
      <c r="R29" s="65">
        <f t="shared" si="4"/>
        <v>0</v>
      </c>
      <c r="S29" s="65">
        <f t="shared" si="4"/>
        <v>2127</v>
      </c>
      <c r="T29" s="65">
        <f t="shared" si="4"/>
        <v>0</v>
      </c>
      <c r="U29" s="65">
        <f t="shared" si="4"/>
        <v>156</v>
      </c>
      <c r="V29" s="65">
        <f t="shared" si="4"/>
        <v>9993</v>
      </c>
      <c r="W29" s="65">
        <f t="shared" si="4"/>
        <v>0</v>
      </c>
      <c r="X29" s="65">
        <f t="shared" si="4"/>
        <v>0</v>
      </c>
      <c r="Y29" s="65">
        <f t="shared" si="4"/>
        <v>9747</v>
      </c>
      <c r="Z29" s="65">
        <f t="shared" si="4"/>
        <v>0</v>
      </c>
      <c r="AA29" s="65">
        <f t="shared" si="4"/>
        <v>246</v>
      </c>
      <c r="AB29" s="65">
        <f t="shared" si="4"/>
        <v>1147</v>
      </c>
      <c r="AC29" s="65">
        <f t="shared" si="4"/>
        <v>0</v>
      </c>
      <c r="AD29" s="65">
        <f t="shared" si="4"/>
        <v>0</v>
      </c>
      <c r="AE29" s="65">
        <f t="shared" si="4"/>
        <v>1113</v>
      </c>
      <c r="AF29" s="65">
        <f t="shared" si="4"/>
        <v>0</v>
      </c>
      <c r="AG29" s="65">
        <f t="shared" si="4"/>
        <v>34</v>
      </c>
      <c r="AH29" s="65">
        <f t="shared" si="4"/>
        <v>10292</v>
      </c>
      <c r="AI29" s="65">
        <f t="shared" si="4"/>
        <v>0</v>
      </c>
      <c r="AJ29" s="65">
        <f t="shared" si="4"/>
        <v>0</v>
      </c>
      <c r="AK29" s="65">
        <f t="shared" si="4"/>
        <v>9357</v>
      </c>
      <c r="AL29" s="65">
        <f t="shared" si="4"/>
        <v>0</v>
      </c>
      <c r="AM29" s="65">
        <f t="shared" si="4"/>
        <v>935</v>
      </c>
      <c r="AN29" s="65">
        <f t="shared" si="4"/>
        <v>73</v>
      </c>
      <c r="AO29" s="65">
        <f t="shared" si="4"/>
        <v>0</v>
      </c>
      <c r="AP29" s="65">
        <f t="shared" si="4"/>
        <v>0</v>
      </c>
      <c r="AQ29" s="65">
        <f t="shared" si="4"/>
        <v>73</v>
      </c>
      <c r="AR29" s="65">
        <f t="shared" si="4"/>
        <v>0</v>
      </c>
      <c r="AS29" s="65">
        <f t="shared" si="4"/>
        <v>0</v>
      </c>
      <c r="AT29" s="65">
        <f t="shared" si="4"/>
        <v>11395</v>
      </c>
      <c r="AU29" s="65">
        <f t="shared" si="4"/>
        <v>0</v>
      </c>
      <c r="AV29" s="65">
        <f t="shared" si="4"/>
        <v>0</v>
      </c>
      <c r="AW29" s="65">
        <f t="shared" si="4"/>
        <v>10352</v>
      </c>
      <c r="AX29" s="65">
        <f t="shared" si="4"/>
        <v>0</v>
      </c>
      <c r="AY29" s="65">
        <f t="shared" si="4"/>
        <v>1043</v>
      </c>
      <c r="AZ29" s="72"/>
    </row>
    <row r="30" spans="1:52" ht="56.25">
      <c r="A30" s="58"/>
      <c r="B30" s="47" t="s">
        <v>1169</v>
      </c>
      <c r="C30" s="135">
        <v>23040</v>
      </c>
      <c r="D30" s="135"/>
      <c r="E30" s="135"/>
      <c r="F30" s="135"/>
      <c r="G30" s="131"/>
      <c r="H30" s="131">
        <v>20945</v>
      </c>
      <c r="I30" s="131">
        <v>2095</v>
      </c>
      <c r="J30" s="132">
        <v>10215</v>
      </c>
      <c r="K30" s="132"/>
      <c r="L30" s="132"/>
      <c r="M30" s="132">
        <v>9286</v>
      </c>
      <c r="N30" s="132"/>
      <c r="O30" s="132">
        <v>929</v>
      </c>
      <c r="P30" s="132">
        <v>148</v>
      </c>
      <c r="Q30" s="132"/>
      <c r="R30" s="132"/>
      <c r="S30" s="132">
        <v>148</v>
      </c>
      <c r="T30" s="132"/>
      <c r="U30" s="132"/>
      <c r="V30" s="132">
        <v>9229</v>
      </c>
      <c r="W30" s="132"/>
      <c r="X30" s="132"/>
      <c r="Y30" s="132">
        <v>9069</v>
      </c>
      <c r="Z30" s="132"/>
      <c r="AA30" s="132">
        <v>160</v>
      </c>
      <c r="AB30" s="132">
        <v>769</v>
      </c>
      <c r="AC30" s="132"/>
      <c r="AD30" s="132"/>
      <c r="AE30" s="132">
        <v>769</v>
      </c>
      <c r="AF30" s="132"/>
      <c r="AG30" s="132"/>
      <c r="AH30" s="132">
        <v>7615</v>
      </c>
      <c r="AI30" s="132"/>
      <c r="AJ30" s="132"/>
      <c r="AK30" s="132">
        <v>6923</v>
      </c>
      <c r="AL30" s="132"/>
      <c r="AM30" s="132">
        <v>692</v>
      </c>
      <c r="AN30" s="132">
        <v>0</v>
      </c>
      <c r="AO30" s="132"/>
      <c r="AP30" s="132"/>
      <c r="AQ30" s="132"/>
      <c r="AR30" s="132"/>
      <c r="AS30" s="132"/>
      <c r="AT30" s="132">
        <v>8808</v>
      </c>
      <c r="AU30" s="132"/>
      <c r="AV30" s="132"/>
      <c r="AW30" s="132">
        <v>8000</v>
      </c>
      <c r="AX30" s="132"/>
      <c r="AY30" s="132">
        <v>808</v>
      </c>
      <c r="AZ30" s="47" t="s">
        <v>1170</v>
      </c>
    </row>
    <row r="31" spans="1:52" ht="56.25">
      <c r="A31" s="58"/>
      <c r="B31" s="47" t="s">
        <v>1171</v>
      </c>
      <c r="C31" s="135">
        <v>8191</v>
      </c>
      <c r="D31" s="135"/>
      <c r="E31" s="135"/>
      <c r="F31" s="135"/>
      <c r="G31" s="131"/>
      <c r="H31" s="131">
        <v>7446</v>
      </c>
      <c r="I31" s="131">
        <v>745</v>
      </c>
      <c r="J31" s="132">
        <v>2926</v>
      </c>
      <c r="K31" s="132"/>
      <c r="L31" s="132"/>
      <c r="M31" s="132">
        <v>2660</v>
      </c>
      <c r="N31" s="132"/>
      <c r="O31" s="132">
        <v>266</v>
      </c>
      <c r="P31" s="132">
        <v>2135</v>
      </c>
      <c r="Q31" s="132"/>
      <c r="R31" s="132"/>
      <c r="S31" s="132">
        <v>1979</v>
      </c>
      <c r="T31" s="132"/>
      <c r="U31" s="132">
        <v>156</v>
      </c>
      <c r="V31" s="132">
        <v>764</v>
      </c>
      <c r="W31" s="132"/>
      <c r="X31" s="132"/>
      <c r="Y31" s="132">
        <v>678</v>
      </c>
      <c r="Z31" s="132"/>
      <c r="AA31" s="132">
        <v>86</v>
      </c>
      <c r="AB31" s="132">
        <v>378</v>
      </c>
      <c r="AC31" s="132"/>
      <c r="AD31" s="132"/>
      <c r="AE31" s="132">
        <v>344</v>
      </c>
      <c r="AF31" s="132"/>
      <c r="AG31" s="132">
        <v>34</v>
      </c>
      <c r="AH31" s="132">
        <v>2677</v>
      </c>
      <c r="AI31" s="132"/>
      <c r="AJ31" s="132"/>
      <c r="AK31" s="132">
        <v>2434</v>
      </c>
      <c r="AL31" s="132"/>
      <c r="AM31" s="132">
        <v>243</v>
      </c>
      <c r="AN31" s="132">
        <v>73</v>
      </c>
      <c r="AO31" s="132"/>
      <c r="AP31" s="132"/>
      <c r="AQ31" s="132">
        <v>73</v>
      </c>
      <c r="AR31" s="132"/>
      <c r="AS31" s="132"/>
      <c r="AT31" s="132">
        <v>2587</v>
      </c>
      <c r="AU31" s="132"/>
      <c r="AV31" s="132"/>
      <c r="AW31" s="132">
        <v>2352</v>
      </c>
      <c r="AX31" s="132"/>
      <c r="AY31" s="132">
        <v>235</v>
      </c>
      <c r="AZ31" s="47" t="s">
        <v>1161</v>
      </c>
    </row>
    <row r="32" spans="1:52" s="2" customFormat="1" ht="61.5" customHeight="1">
      <c r="A32" s="50" t="s">
        <v>1175</v>
      </c>
      <c r="B32" s="51" t="s">
        <v>1172</v>
      </c>
      <c r="C32" s="65">
        <f>SUM(C33:C34)</f>
        <v>35137</v>
      </c>
      <c r="D32" s="65">
        <f t="shared" ref="D32:AY32" si="5">SUM(D33:D34)</f>
        <v>0</v>
      </c>
      <c r="E32" s="65">
        <f t="shared" si="5"/>
        <v>0</v>
      </c>
      <c r="F32" s="65">
        <f t="shared" si="5"/>
        <v>0</v>
      </c>
      <c r="G32" s="65">
        <f t="shared" si="5"/>
        <v>0</v>
      </c>
      <c r="H32" s="65">
        <f t="shared" si="5"/>
        <v>31943</v>
      </c>
      <c r="I32" s="65">
        <f t="shared" si="5"/>
        <v>3194</v>
      </c>
      <c r="J32" s="65">
        <f t="shared" si="5"/>
        <v>8811</v>
      </c>
      <c r="K32" s="65">
        <f t="shared" si="5"/>
        <v>0</v>
      </c>
      <c r="L32" s="65">
        <f t="shared" si="5"/>
        <v>0</v>
      </c>
      <c r="M32" s="65">
        <f t="shared" si="5"/>
        <v>12281</v>
      </c>
      <c r="N32" s="65">
        <f t="shared" si="5"/>
        <v>0</v>
      </c>
      <c r="O32" s="65">
        <f t="shared" si="5"/>
        <v>1228</v>
      </c>
      <c r="P32" s="65">
        <f t="shared" si="5"/>
        <v>9918</v>
      </c>
      <c r="Q32" s="65">
        <f t="shared" si="5"/>
        <v>0</v>
      </c>
      <c r="R32" s="65">
        <f t="shared" si="5"/>
        <v>0</v>
      </c>
      <c r="S32" s="65">
        <f t="shared" si="5"/>
        <v>9068</v>
      </c>
      <c r="T32" s="65">
        <f t="shared" si="5"/>
        <v>0</v>
      </c>
      <c r="U32" s="65">
        <f t="shared" si="5"/>
        <v>850</v>
      </c>
      <c r="V32" s="65">
        <f t="shared" si="5"/>
        <v>3336</v>
      </c>
      <c r="W32" s="65">
        <f t="shared" si="5"/>
        <v>0</v>
      </c>
      <c r="X32" s="65">
        <f t="shared" si="5"/>
        <v>0</v>
      </c>
      <c r="Y32" s="65">
        <f t="shared" si="5"/>
        <v>3144</v>
      </c>
      <c r="Z32" s="65">
        <f t="shared" si="5"/>
        <v>0</v>
      </c>
      <c r="AA32" s="65">
        <f t="shared" si="5"/>
        <v>192</v>
      </c>
      <c r="AB32" s="65">
        <f t="shared" si="5"/>
        <v>1195</v>
      </c>
      <c r="AC32" s="65">
        <f t="shared" si="5"/>
        <v>0</v>
      </c>
      <c r="AD32" s="65">
        <f t="shared" si="5"/>
        <v>0</v>
      </c>
      <c r="AE32" s="65">
        <f t="shared" si="5"/>
        <v>1086</v>
      </c>
      <c r="AF32" s="65">
        <f t="shared" si="5"/>
        <v>0</v>
      </c>
      <c r="AG32" s="65">
        <f t="shared" si="5"/>
        <v>109</v>
      </c>
      <c r="AH32" s="65">
        <f t="shared" si="5"/>
        <v>10821</v>
      </c>
      <c r="AI32" s="65">
        <f t="shared" si="5"/>
        <v>0</v>
      </c>
      <c r="AJ32" s="65">
        <f t="shared" si="5"/>
        <v>0</v>
      </c>
      <c r="AK32" s="65">
        <f t="shared" si="5"/>
        <v>9837</v>
      </c>
      <c r="AL32" s="65">
        <f t="shared" si="5"/>
        <v>0</v>
      </c>
      <c r="AM32" s="65">
        <f t="shared" si="5"/>
        <v>984</v>
      </c>
      <c r="AN32" s="65">
        <f t="shared" si="5"/>
        <v>1211</v>
      </c>
      <c r="AO32" s="65">
        <f t="shared" si="5"/>
        <v>0</v>
      </c>
      <c r="AP32" s="65">
        <f t="shared" si="5"/>
        <v>0</v>
      </c>
      <c r="AQ32" s="65">
        <f t="shared" si="5"/>
        <v>1101</v>
      </c>
      <c r="AR32" s="65">
        <f t="shared" si="5"/>
        <v>0</v>
      </c>
      <c r="AS32" s="65">
        <f t="shared" si="5"/>
        <v>110</v>
      </c>
      <c r="AT32" s="65">
        <f t="shared" si="5"/>
        <v>10809</v>
      </c>
      <c r="AU32" s="65">
        <f t="shared" si="5"/>
        <v>0</v>
      </c>
      <c r="AV32" s="65">
        <f t="shared" si="5"/>
        <v>0</v>
      </c>
      <c r="AW32" s="65">
        <f t="shared" si="5"/>
        <v>9825</v>
      </c>
      <c r="AX32" s="65">
        <f t="shared" si="5"/>
        <v>0</v>
      </c>
      <c r="AY32" s="65">
        <f t="shared" si="5"/>
        <v>984</v>
      </c>
      <c r="AZ32" s="72"/>
    </row>
    <row r="33" spans="1:52" ht="56.25">
      <c r="A33" s="58"/>
      <c r="B33" s="47" t="s">
        <v>1173</v>
      </c>
      <c r="C33" s="135">
        <v>22960</v>
      </c>
      <c r="D33" s="135"/>
      <c r="E33" s="135"/>
      <c r="F33" s="135"/>
      <c r="G33" s="131"/>
      <c r="H33" s="131">
        <v>20873</v>
      </c>
      <c r="I33" s="131">
        <v>2087</v>
      </c>
      <c r="J33" s="132">
        <v>8811</v>
      </c>
      <c r="K33" s="132"/>
      <c r="L33" s="132"/>
      <c r="M33" s="132">
        <v>8010</v>
      </c>
      <c r="N33" s="132"/>
      <c r="O33" s="132">
        <v>801</v>
      </c>
      <c r="P33" s="132">
        <v>6936</v>
      </c>
      <c r="Q33" s="132"/>
      <c r="R33" s="132"/>
      <c r="S33" s="132">
        <v>6365</v>
      </c>
      <c r="T33" s="132"/>
      <c r="U33" s="132">
        <v>571</v>
      </c>
      <c r="V33" s="132">
        <v>2047</v>
      </c>
      <c r="W33" s="132"/>
      <c r="X33" s="132"/>
      <c r="Y33" s="132">
        <v>1923</v>
      </c>
      <c r="Z33" s="132"/>
      <c r="AA33" s="132">
        <v>124</v>
      </c>
      <c r="AB33" s="132">
        <v>1049</v>
      </c>
      <c r="AC33" s="132"/>
      <c r="AD33" s="132"/>
      <c r="AE33" s="132">
        <v>954</v>
      </c>
      <c r="AF33" s="132"/>
      <c r="AG33" s="132">
        <v>95</v>
      </c>
      <c r="AH33" s="132">
        <v>6759</v>
      </c>
      <c r="AI33" s="132"/>
      <c r="AJ33" s="132"/>
      <c r="AK33" s="132">
        <v>6144</v>
      </c>
      <c r="AL33" s="132"/>
      <c r="AM33" s="132">
        <v>615</v>
      </c>
      <c r="AN33" s="132">
        <v>1211</v>
      </c>
      <c r="AO33" s="132"/>
      <c r="AP33" s="132"/>
      <c r="AQ33" s="132">
        <v>1101</v>
      </c>
      <c r="AR33" s="132"/>
      <c r="AS33" s="132">
        <v>110</v>
      </c>
      <c r="AT33" s="132">
        <v>7391</v>
      </c>
      <c r="AU33" s="132"/>
      <c r="AV33" s="132"/>
      <c r="AW33" s="132">
        <v>6719</v>
      </c>
      <c r="AX33" s="132"/>
      <c r="AY33" s="132">
        <v>672</v>
      </c>
      <c r="AZ33" s="47" t="s">
        <v>1161</v>
      </c>
    </row>
    <row r="34" spans="1:52" ht="56.25">
      <c r="A34" s="58"/>
      <c r="B34" s="47" t="s">
        <v>1174</v>
      </c>
      <c r="C34" s="135">
        <v>12177</v>
      </c>
      <c r="D34" s="135"/>
      <c r="E34" s="135"/>
      <c r="F34" s="135"/>
      <c r="G34" s="131"/>
      <c r="H34" s="131">
        <v>11070</v>
      </c>
      <c r="I34" s="131">
        <v>1107</v>
      </c>
      <c r="J34" s="132"/>
      <c r="K34" s="132"/>
      <c r="L34" s="132"/>
      <c r="M34" s="132">
        <v>4271</v>
      </c>
      <c r="N34" s="132"/>
      <c r="O34" s="132">
        <v>427</v>
      </c>
      <c r="P34" s="132">
        <v>2982</v>
      </c>
      <c r="Q34" s="132"/>
      <c r="R34" s="132"/>
      <c r="S34" s="132">
        <v>2703</v>
      </c>
      <c r="T34" s="132"/>
      <c r="U34" s="132">
        <v>279</v>
      </c>
      <c r="V34" s="132">
        <v>1289</v>
      </c>
      <c r="W34" s="132"/>
      <c r="X34" s="132"/>
      <c r="Y34" s="132">
        <v>1221</v>
      </c>
      <c r="Z34" s="132"/>
      <c r="AA34" s="132">
        <v>68</v>
      </c>
      <c r="AB34" s="132">
        <v>146</v>
      </c>
      <c r="AC34" s="132"/>
      <c r="AD34" s="132"/>
      <c r="AE34" s="132">
        <v>132</v>
      </c>
      <c r="AF34" s="132"/>
      <c r="AG34" s="132">
        <v>14</v>
      </c>
      <c r="AH34" s="132">
        <v>4062</v>
      </c>
      <c r="AI34" s="132"/>
      <c r="AJ34" s="132"/>
      <c r="AK34" s="132">
        <v>3693</v>
      </c>
      <c r="AL34" s="132"/>
      <c r="AM34" s="132">
        <v>369</v>
      </c>
      <c r="AN34" s="132">
        <v>0</v>
      </c>
      <c r="AO34" s="132"/>
      <c r="AP34" s="132"/>
      <c r="AQ34" s="132">
        <v>0</v>
      </c>
      <c r="AR34" s="132"/>
      <c r="AS34" s="132">
        <v>0</v>
      </c>
      <c r="AT34" s="132">
        <v>3418</v>
      </c>
      <c r="AU34" s="132"/>
      <c r="AV34" s="132"/>
      <c r="AW34" s="132">
        <v>3106</v>
      </c>
      <c r="AX34" s="132"/>
      <c r="AY34" s="132">
        <v>312</v>
      </c>
      <c r="AZ34" s="47" t="s">
        <v>1161</v>
      </c>
    </row>
    <row r="35" spans="1:52">
      <c r="A35" s="50" t="s">
        <v>44</v>
      </c>
      <c r="B35" s="51" t="s">
        <v>192</v>
      </c>
      <c r="C35" s="59"/>
      <c r="D35" s="59"/>
      <c r="E35" s="59"/>
      <c r="F35" s="59"/>
      <c r="G35" s="60"/>
      <c r="H35" s="60"/>
      <c r="I35" s="60"/>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row>
    <row r="36" spans="1:52" ht="37.5">
      <c r="A36" s="50" t="s">
        <v>38</v>
      </c>
      <c r="B36" s="51" t="s">
        <v>193</v>
      </c>
      <c r="C36" s="59"/>
      <c r="D36" s="59"/>
      <c r="E36" s="59"/>
      <c r="F36" s="59"/>
      <c r="G36" s="60"/>
      <c r="H36" s="60"/>
      <c r="I36" s="60"/>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row>
    <row r="37" spans="1:52" ht="37.5">
      <c r="A37" s="58" t="s">
        <v>13</v>
      </c>
      <c r="B37" s="47" t="s">
        <v>194</v>
      </c>
      <c r="C37" s="59"/>
      <c r="D37" s="59"/>
      <c r="E37" s="59"/>
      <c r="F37" s="59"/>
      <c r="G37" s="60"/>
      <c r="H37" s="60"/>
      <c r="I37" s="60"/>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row>
    <row r="38" spans="1:52">
      <c r="A38" s="58" t="s">
        <v>2</v>
      </c>
      <c r="B38" s="49" t="s">
        <v>42</v>
      </c>
      <c r="C38" s="59"/>
      <c r="D38" s="59"/>
      <c r="E38" s="59"/>
      <c r="F38" s="59"/>
      <c r="G38" s="60"/>
      <c r="H38" s="60"/>
      <c r="I38" s="60"/>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row>
    <row r="39" spans="1:52">
      <c r="A39" s="58"/>
      <c r="B39" s="49"/>
      <c r="C39" s="59"/>
      <c r="D39" s="59"/>
      <c r="E39" s="59"/>
      <c r="F39" s="59"/>
      <c r="G39" s="60"/>
      <c r="H39" s="60"/>
      <c r="I39" s="60"/>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row>
    <row r="40" spans="1:52" s="3" customFormat="1" ht="19.5">
      <c r="A40" s="54"/>
      <c r="B40" s="55"/>
      <c r="C40" s="56"/>
      <c r="D40" s="56"/>
      <c r="E40" s="56"/>
      <c r="F40" s="56"/>
      <c r="G40" s="57"/>
      <c r="H40" s="57"/>
      <c r="I40" s="57"/>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row>
    <row r="41" spans="1:52">
      <c r="A41" s="58"/>
      <c r="B41" s="51"/>
      <c r="C41" s="59"/>
      <c r="D41" s="59"/>
      <c r="E41" s="59"/>
      <c r="F41" s="59"/>
      <c r="G41" s="60"/>
      <c r="H41" s="60"/>
      <c r="I41" s="60"/>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row>
    <row r="42" spans="1:52">
      <c r="A42" s="81"/>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row>
    <row r="43" spans="1:52">
      <c r="A43" s="82"/>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row>
    <row r="44" spans="1:52">
      <c r="A44" s="15"/>
      <c r="B44" s="4"/>
      <c r="C44" s="4"/>
      <c r="D44" s="4"/>
      <c r="E44" s="4"/>
      <c r="F44" s="4"/>
      <c r="G44" s="4"/>
      <c r="H44" s="4"/>
      <c r="I44" s="4"/>
    </row>
    <row r="45" spans="1:52">
      <c r="A45" s="15"/>
      <c r="B45" s="550" t="s">
        <v>141</v>
      </c>
      <c r="C45" s="551"/>
      <c r="D45" s="551"/>
      <c r="E45" s="551"/>
      <c r="F45" s="4"/>
      <c r="G45" s="4"/>
      <c r="H45" s="4"/>
      <c r="I45" s="4"/>
    </row>
    <row r="46" spans="1:52">
      <c r="A46" s="15"/>
      <c r="B46" s="4"/>
      <c r="C46" s="4"/>
      <c r="D46" s="4"/>
      <c r="E46" s="4"/>
      <c r="F46" s="4"/>
      <c r="G46" s="4"/>
      <c r="H46" s="4"/>
      <c r="I46" s="4"/>
    </row>
    <row r="47" spans="1:52">
      <c r="A47" s="15"/>
      <c r="B47" s="4"/>
      <c r="C47" s="4"/>
      <c r="D47" s="4"/>
      <c r="E47" s="4"/>
      <c r="F47" s="4"/>
      <c r="G47" s="4"/>
      <c r="H47" s="4"/>
      <c r="I47" s="4"/>
    </row>
    <row r="48" spans="1:52">
      <c r="A48" s="15"/>
      <c r="B48" s="4"/>
      <c r="C48" s="4"/>
      <c r="D48" s="4"/>
      <c r="E48" s="4"/>
      <c r="F48" s="4"/>
      <c r="G48" s="4"/>
      <c r="H48" s="4"/>
      <c r="I48" s="4"/>
    </row>
    <row r="49" spans="1:9">
      <c r="A49" s="15"/>
      <c r="B49" s="4"/>
      <c r="C49" s="4"/>
      <c r="D49" s="4"/>
      <c r="E49" s="4"/>
      <c r="F49" s="4"/>
      <c r="G49" s="4"/>
      <c r="H49" s="4"/>
      <c r="I49" s="4"/>
    </row>
    <row r="50" spans="1:9">
      <c r="A50" s="15"/>
      <c r="B50" s="4"/>
      <c r="C50" s="4"/>
      <c r="D50" s="4"/>
      <c r="E50" s="4"/>
      <c r="F50" s="4"/>
      <c r="G50" s="4"/>
      <c r="H50" s="4"/>
      <c r="I50" s="4"/>
    </row>
    <row r="51" spans="1:9">
      <c r="A51" s="15"/>
      <c r="B51" s="4"/>
      <c r="C51" s="4"/>
      <c r="D51" s="4"/>
      <c r="E51" s="4"/>
      <c r="F51" s="4"/>
      <c r="G51" s="4"/>
      <c r="H51" s="4"/>
      <c r="I51" s="4"/>
    </row>
    <row r="52" spans="1:9">
      <c r="A52" s="15"/>
      <c r="B52" s="4"/>
      <c r="C52" s="4"/>
      <c r="D52" s="4"/>
      <c r="E52" s="4"/>
      <c r="F52" s="4"/>
      <c r="G52" s="4"/>
      <c r="H52" s="4"/>
      <c r="I52" s="4"/>
    </row>
    <row r="53" spans="1:9">
      <c r="A53" s="15"/>
      <c r="B53" s="4"/>
      <c r="C53" s="4"/>
      <c r="D53" s="4"/>
      <c r="E53" s="4"/>
      <c r="F53" s="4"/>
      <c r="G53" s="4"/>
      <c r="H53" s="4"/>
      <c r="I53" s="4"/>
    </row>
    <row r="54" spans="1:9">
      <c r="A54" s="15"/>
      <c r="B54" s="4"/>
      <c r="C54" s="4"/>
      <c r="D54" s="4"/>
      <c r="E54" s="4"/>
      <c r="F54" s="4"/>
      <c r="G54" s="4"/>
      <c r="H54" s="4"/>
      <c r="I54" s="4"/>
    </row>
    <row r="55" spans="1:9">
      <c r="A55" s="15"/>
      <c r="B55" s="4"/>
      <c r="C55" s="4"/>
      <c r="D55" s="4"/>
      <c r="E55" s="4"/>
      <c r="F55" s="4"/>
      <c r="G55" s="4"/>
      <c r="H55" s="4"/>
      <c r="I55" s="4"/>
    </row>
    <row r="56" spans="1:9">
      <c r="A56" s="15"/>
      <c r="B56" s="4"/>
      <c r="C56" s="4"/>
      <c r="D56" s="4"/>
      <c r="E56" s="4"/>
      <c r="F56" s="4"/>
      <c r="G56" s="4"/>
      <c r="H56" s="4"/>
      <c r="I56" s="4"/>
    </row>
    <row r="57" spans="1:9">
      <c r="A57" s="15"/>
      <c r="B57" s="4"/>
      <c r="C57" s="4"/>
      <c r="D57" s="4"/>
      <c r="E57" s="4"/>
      <c r="F57" s="4"/>
      <c r="G57" s="4"/>
      <c r="H57" s="4"/>
      <c r="I57" s="4"/>
    </row>
    <row r="58" spans="1:9">
      <c r="A58" s="15"/>
      <c r="B58" s="4"/>
      <c r="C58" s="4"/>
      <c r="D58" s="4"/>
      <c r="E58" s="4"/>
      <c r="F58" s="4"/>
      <c r="G58" s="4"/>
      <c r="H58" s="4"/>
      <c r="I58" s="4"/>
    </row>
    <row r="59" spans="1:9">
      <c r="A59" s="15"/>
      <c r="B59" s="4"/>
      <c r="C59" s="4"/>
      <c r="D59" s="4"/>
      <c r="E59" s="4"/>
      <c r="F59" s="4"/>
      <c r="G59" s="4"/>
      <c r="H59" s="4"/>
      <c r="I59" s="4"/>
    </row>
    <row r="60" spans="1:9">
      <c r="A60" s="15"/>
      <c r="B60" s="4"/>
      <c r="C60" s="4"/>
      <c r="D60" s="4"/>
      <c r="E60" s="4"/>
      <c r="F60" s="4"/>
      <c r="G60" s="4"/>
      <c r="H60" s="4"/>
      <c r="I60" s="4"/>
    </row>
    <row r="61" spans="1:9">
      <c r="A61" s="15"/>
      <c r="B61" s="4"/>
      <c r="C61" s="4"/>
      <c r="D61" s="4"/>
      <c r="E61" s="4"/>
      <c r="F61" s="4"/>
      <c r="G61" s="4"/>
      <c r="H61" s="4"/>
      <c r="I61" s="4"/>
    </row>
    <row r="62" spans="1:9">
      <c r="A62" s="15"/>
      <c r="B62" s="4"/>
      <c r="C62" s="4"/>
      <c r="D62" s="4"/>
      <c r="E62" s="4"/>
      <c r="F62" s="4"/>
      <c r="G62" s="4"/>
      <c r="H62" s="4"/>
      <c r="I62" s="4"/>
    </row>
    <row r="63" spans="1:9">
      <c r="A63" s="15"/>
      <c r="B63" s="4"/>
      <c r="C63" s="4"/>
      <c r="D63" s="4"/>
      <c r="E63" s="4"/>
      <c r="F63" s="4"/>
      <c r="G63" s="4"/>
      <c r="H63" s="4"/>
      <c r="I63" s="4"/>
    </row>
    <row r="64" spans="1:9">
      <c r="A64" s="15"/>
      <c r="B64" s="4"/>
      <c r="C64" s="4"/>
      <c r="D64" s="4"/>
      <c r="E64" s="4"/>
      <c r="F64" s="4"/>
      <c r="G64" s="4"/>
      <c r="H64" s="4"/>
      <c r="I64" s="4"/>
    </row>
    <row r="65" spans="1:9">
      <c r="A65" s="15"/>
      <c r="B65" s="4"/>
      <c r="C65" s="4"/>
      <c r="D65" s="4"/>
      <c r="E65" s="4"/>
      <c r="F65" s="4"/>
      <c r="G65" s="4"/>
      <c r="H65" s="4"/>
      <c r="I65" s="4"/>
    </row>
    <row r="66" spans="1:9">
      <c r="A66" s="15"/>
      <c r="B66" s="4"/>
      <c r="C66" s="4"/>
      <c r="D66" s="4"/>
      <c r="E66" s="4"/>
      <c r="F66" s="4"/>
      <c r="G66" s="4"/>
      <c r="H66" s="4"/>
      <c r="I66" s="4"/>
    </row>
    <row r="67" spans="1:9">
      <c r="A67" s="15"/>
      <c r="B67" s="4"/>
      <c r="C67" s="4"/>
      <c r="D67" s="4"/>
      <c r="E67" s="4"/>
      <c r="F67" s="4"/>
      <c r="G67" s="4"/>
      <c r="H67" s="4"/>
      <c r="I67" s="4"/>
    </row>
    <row r="68" spans="1:9">
      <c r="A68" s="15"/>
      <c r="B68" s="4"/>
      <c r="C68" s="4"/>
      <c r="D68" s="4"/>
      <c r="E68" s="4"/>
      <c r="F68" s="4"/>
      <c r="G68" s="4"/>
      <c r="H68" s="4"/>
      <c r="I68" s="4"/>
    </row>
    <row r="69" spans="1:9">
      <c r="A69" s="15"/>
      <c r="B69" s="4"/>
      <c r="C69" s="4"/>
      <c r="D69" s="4"/>
      <c r="E69" s="4"/>
      <c r="F69" s="4"/>
      <c r="G69" s="4"/>
      <c r="H69" s="4"/>
      <c r="I69" s="4"/>
    </row>
    <row r="70" spans="1:9">
      <c r="A70" s="15"/>
      <c r="B70" s="4"/>
      <c r="C70" s="4"/>
      <c r="D70" s="4"/>
      <c r="E70" s="4"/>
      <c r="F70" s="4"/>
      <c r="G70" s="4"/>
      <c r="H70" s="4"/>
      <c r="I70" s="4"/>
    </row>
    <row r="71" spans="1:9">
      <c r="A71" s="15"/>
      <c r="B71" s="4"/>
      <c r="C71" s="4"/>
      <c r="D71" s="4"/>
      <c r="E71" s="4"/>
      <c r="F71" s="4"/>
      <c r="G71" s="4"/>
      <c r="H71" s="4"/>
      <c r="I71" s="4"/>
    </row>
    <row r="72" spans="1:9">
      <c r="A72" s="15"/>
      <c r="B72" s="4"/>
      <c r="C72" s="4"/>
      <c r="D72" s="4"/>
      <c r="E72" s="4"/>
      <c r="F72" s="4"/>
      <c r="G72" s="4"/>
      <c r="H72" s="4"/>
      <c r="I72" s="4"/>
    </row>
    <row r="73" spans="1:9">
      <c r="A73" s="15"/>
      <c r="B73" s="4"/>
      <c r="C73" s="4"/>
      <c r="D73" s="4"/>
      <c r="E73" s="4"/>
      <c r="F73" s="4"/>
      <c r="G73" s="4"/>
      <c r="H73" s="4"/>
      <c r="I73" s="4"/>
    </row>
    <row r="74" spans="1:9">
      <c r="A74" s="15"/>
      <c r="B74" s="4"/>
      <c r="C74" s="4"/>
      <c r="D74" s="4"/>
      <c r="E74" s="4"/>
      <c r="F74" s="4"/>
      <c r="G74" s="4"/>
      <c r="H74" s="4"/>
      <c r="I74" s="4"/>
    </row>
    <row r="75" spans="1:9">
      <c r="A75" s="15"/>
      <c r="B75" s="4"/>
      <c r="C75" s="4"/>
      <c r="D75" s="4"/>
      <c r="E75" s="4"/>
      <c r="F75" s="4"/>
      <c r="G75" s="4"/>
      <c r="H75" s="4"/>
      <c r="I75" s="4"/>
    </row>
    <row r="76" spans="1:9">
      <c r="A76" s="15"/>
      <c r="B76" s="4"/>
      <c r="C76" s="4"/>
      <c r="D76" s="4"/>
      <c r="E76" s="4"/>
      <c r="F76" s="4"/>
      <c r="G76" s="4"/>
      <c r="H76" s="4"/>
      <c r="I76" s="4"/>
    </row>
    <row r="77" spans="1:9">
      <c r="A77" s="15"/>
      <c r="B77" s="4"/>
      <c r="C77" s="4"/>
      <c r="D77" s="4"/>
      <c r="E77" s="4"/>
      <c r="F77" s="4"/>
      <c r="G77" s="4"/>
      <c r="H77" s="4"/>
      <c r="I77" s="4"/>
    </row>
    <row r="78" spans="1:9">
      <c r="A78" s="15"/>
      <c r="B78" s="4"/>
      <c r="C78" s="4"/>
      <c r="D78" s="4"/>
      <c r="E78" s="4"/>
      <c r="F78" s="4"/>
      <c r="G78" s="4"/>
      <c r="H78" s="4"/>
      <c r="I78" s="4"/>
    </row>
    <row r="79" spans="1:9">
      <c r="A79" s="15"/>
      <c r="B79" s="4"/>
      <c r="C79" s="4"/>
      <c r="D79" s="4"/>
      <c r="E79" s="4"/>
      <c r="F79" s="4"/>
      <c r="G79" s="4"/>
      <c r="H79" s="4"/>
      <c r="I79" s="4"/>
    </row>
    <row r="80" spans="1:9">
      <c r="A80" s="15"/>
      <c r="B80" s="4"/>
      <c r="C80" s="4"/>
      <c r="D80" s="4"/>
      <c r="E80" s="4"/>
      <c r="F80" s="4"/>
      <c r="G80" s="4"/>
      <c r="H80" s="4"/>
      <c r="I80" s="4"/>
    </row>
    <row r="81" spans="1:9">
      <c r="A81" s="15"/>
      <c r="B81" s="4"/>
      <c r="C81" s="4"/>
      <c r="D81" s="4"/>
      <c r="E81" s="4"/>
      <c r="F81" s="4"/>
      <c r="G81" s="4"/>
      <c r="H81" s="4"/>
      <c r="I81" s="4"/>
    </row>
    <row r="82" spans="1:9">
      <c r="A82" s="15"/>
      <c r="B82" s="4"/>
      <c r="C82" s="4"/>
      <c r="D82" s="4"/>
      <c r="E82" s="4"/>
      <c r="F82" s="4"/>
      <c r="G82" s="4"/>
      <c r="H82" s="4"/>
      <c r="I82" s="4"/>
    </row>
    <row r="83" spans="1:9">
      <c r="A83" s="15"/>
      <c r="B83" s="4"/>
      <c r="C83" s="4"/>
      <c r="D83" s="4"/>
      <c r="E83" s="4"/>
      <c r="F83" s="4"/>
      <c r="G83" s="4"/>
      <c r="H83" s="4"/>
      <c r="I83" s="4"/>
    </row>
    <row r="84" spans="1:9">
      <c r="A84" s="15"/>
      <c r="B84" s="4"/>
      <c r="C84" s="4"/>
      <c r="D84" s="4"/>
      <c r="E84" s="4"/>
      <c r="F84" s="4"/>
      <c r="G84" s="4"/>
      <c r="H84" s="4"/>
      <c r="I84" s="4"/>
    </row>
    <row r="85" spans="1:9">
      <c r="A85" s="15"/>
      <c r="B85" s="4"/>
      <c r="C85" s="4"/>
      <c r="D85" s="4"/>
      <c r="E85" s="4"/>
      <c r="F85" s="4"/>
      <c r="G85" s="4"/>
      <c r="H85" s="4"/>
      <c r="I85" s="4"/>
    </row>
    <row r="86" spans="1:9">
      <c r="A86" s="15"/>
      <c r="B86" s="4"/>
      <c r="C86" s="4"/>
      <c r="D86" s="4"/>
      <c r="E86" s="4"/>
      <c r="F86" s="4"/>
      <c r="G86" s="4"/>
      <c r="H86" s="4"/>
      <c r="I86" s="4"/>
    </row>
    <row r="87" spans="1:9">
      <c r="A87" s="15"/>
      <c r="B87" s="4"/>
      <c r="C87" s="4"/>
      <c r="D87" s="4"/>
      <c r="E87" s="4"/>
      <c r="F87" s="4"/>
      <c r="G87" s="4"/>
      <c r="H87" s="4"/>
      <c r="I87" s="4"/>
    </row>
    <row r="88" spans="1:9">
      <c r="A88" s="15"/>
      <c r="B88" s="4"/>
      <c r="C88" s="4"/>
      <c r="D88" s="4"/>
      <c r="E88" s="4"/>
      <c r="F88" s="4"/>
      <c r="G88" s="4"/>
      <c r="H88" s="4"/>
      <c r="I88" s="4"/>
    </row>
    <row r="89" spans="1:9">
      <c r="A89" s="15"/>
      <c r="B89" s="4"/>
      <c r="C89" s="4"/>
      <c r="D89" s="4"/>
      <c r="E89" s="4"/>
      <c r="F89" s="4"/>
      <c r="G89" s="4"/>
      <c r="H89" s="4"/>
      <c r="I89" s="4"/>
    </row>
    <row r="90" spans="1:9">
      <c r="A90" s="15"/>
      <c r="B90" s="4"/>
      <c r="C90" s="4"/>
      <c r="D90" s="4"/>
      <c r="E90" s="4"/>
      <c r="F90" s="4"/>
      <c r="G90" s="4"/>
      <c r="H90" s="4"/>
      <c r="I90" s="4"/>
    </row>
    <row r="91" spans="1:9">
      <c r="A91" s="15"/>
      <c r="B91" s="4"/>
      <c r="C91" s="4"/>
      <c r="D91" s="4"/>
      <c r="E91" s="4"/>
      <c r="F91" s="4"/>
      <c r="G91" s="4"/>
      <c r="H91" s="4"/>
      <c r="I91" s="4"/>
    </row>
    <row r="92" spans="1:9">
      <c r="A92" s="15"/>
      <c r="B92" s="4"/>
      <c r="C92" s="4"/>
      <c r="D92" s="4"/>
      <c r="E92" s="4"/>
      <c r="F92" s="4"/>
      <c r="G92" s="4"/>
      <c r="H92" s="4"/>
      <c r="I92" s="4"/>
    </row>
    <row r="93" spans="1:9">
      <c r="A93" s="15"/>
      <c r="B93" s="4"/>
      <c r="C93" s="4"/>
      <c r="D93" s="4"/>
      <c r="E93" s="4"/>
      <c r="F93" s="4"/>
      <c r="G93" s="4"/>
      <c r="H93" s="4"/>
      <c r="I93" s="4"/>
    </row>
    <row r="94" spans="1:9">
      <c r="A94" s="15"/>
      <c r="B94" s="4"/>
      <c r="C94" s="4"/>
      <c r="D94" s="4"/>
      <c r="E94" s="4"/>
      <c r="F94" s="4"/>
      <c r="G94" s="4"/>
      <c r="H94" s="4"/>
      <c r="I94" s="4"/>
    </row>
    <row r="95" spans="1:9">
      <c r="A95" s="15"/>
      <c r="B95" s="4"/>
      <c r="C95" s="4"/>
      <c r="D95" s="4"/>
      <c r="E95" s="4"/>
      <c r="F95" s="4"/>
      <c r="G95" s="4"/>
      <c r="H95" s="4"/>
      <c r="I95" s="4"/>
    </row>
    <row r="96" spans="1:9">
      <c r="A96" s="15"/>
      <c r="B96" s="4"/>
      <c r="C96" s="4"/>
      <c r="D96" s="4"/>
      <c r="E96" s="4"/>
      <c r="F96" s="4"/>
      <c r="G96" s="4"/>
      <c r="H96" s="4"/>
      <c r="I96" s="4"/>
    </row>
    <row r="97" spans="1:9">
      <c r="A97" s="15"/>
      <c r="B97" s="4"/>
      <c r="C97" s="4"/>
      <c r="D97" s="4"/>
      <c r="E97" s="4"/>
      <c r="F97" s="4"/>
      <c r="G97" s="4"/>
      <c r="H97" s="4"/>
      <c r="I97" s="4"/>
    </row>
    <row r="98" spans="1:9">
      <c r="A98" s="15"/>
      <c r="B98" s="4"/>
      <c r="C98" s="4"/>
      <c r="D98" s="4"/>
      <c r="E98" s="4"/>
      <c r="F98" s="4"/>
      <c r="G98" s="4"/>
      <c r="H98" s="4"/>
      <c r="I98" s="4"/>
    </row>
    <row r="99" spans="1:9">
      <c r="A99" s="15"/>
      <c r="B99" s="4"/>
      <c r="C99" s="4"/>
      <c r="D99" s="4"/>
      <c r="E99" s="4"/>
      <c r="F99" s="4"/>
      <c r="G99" s="4"/>
      <c r="H99" s="4"/>
      <c r="I99" s="4"/>
    </row>
    <row r="100" spans="1:9">
      <c r="A100" s="15"/>
      <c r="B100" s="4"/>
      <c r="C100" s="4"/>
      <c r="D100" s="4"/>
      <c r="E100" s="4"/>
      <c r="F100" s="4"/>
      <c r="G100" s="4"/>
      <c r="H100" s="4"/>
      <c r="I100" s="4"/>
    </row>
    <row r="101" spans="1:9">
      <c r="A101" s="15"/>
      <c r="B101" s="4"/>
      <c r="C101" s="4"/>
      <c r="D101" s="4"/>
      <c r="E101" s="4"/>
      <c r="F101" s="4"/>
      <c r="G101" s="4"/>
      <c r="H101" s="4"/>
      <c r="I101" s="4"/>
    </row>
    <row r="102" spans="1:9">
      <c r="A102" s="15"/>
      <c r="B102" s="4"/>
      <c r="C102" s="4"/>
      <c r="D102" s="4"/>
      <c r="E102" s="4"/>
      <c r="F102" s="4"/>
      <c r="G102" s="4"/>
      <c r="H102" s="4"/>
      <c r="I102" s="4"/>
    </row>
    <row r="103" spans="1:9">
      <c r="A103" s="15"/>
      <c r="B103" s="4"/>
      <c r="C103" s="4"/>
      <c r="D103" s="4"/>
      <c r="E103" s="4"/>
      <c r="F103" s="4"/>
      <c r="G103" s="4"/>
      <c r="H103" s="4"/>
      <c r="I103" s="4"/>
    </row>
    <row r="104" spans="1:9">
      <c r="A104" s="15"/>
      <c r="B104" s="4"/>
      <c r="C104" s="4"/>
      <c r="D104" s="4"/>
      <c r="E104" s="4"/>
      <c r="F104" s="4"/>
      <c r="G104" s="4"/>
      <c r="H104" s="4"/>
      <c r="I104" s="4"/>
    </row>
    <row r="105" spans="1:9">
      <c r="A105" s="15"/>
      <c r="B105" s="4"/>
      <c r="C105" s="4"/>
      <c r="D105" s="4"/>
      <c r="E105" s="4"/>
      <c r="F105" s="4"/>
      <c r="G105" s="4"/>
      <c r="H105" s="4"/>
      <c r="I105" s="4"/>
    </row>
    <row r="106" spans="1:9">
      <c r="A106" s="15"/>
      <c r="B106" s="4"/>
      <c r="C106" s="4"/>
      <c r="D106" s="4"/>
      <c r="E106" s="4"/>
      <c r="F106" s="4"/>
      <c r="G106" s="4"/>
      <c r="H106" s="4"/>
      <c r="I106" s="4"/>
    </row>
    <row r="107" spans="1:9">
      <c r="A107" s="15"/>
      <c r="B107" s="4"/>
      <c r="C107" s="4"/>
      <c r="D107" s="4"/>
      <c r="E107" s="4"/>
      <c r="F107" s="4"/>
      <c r="G107" s="4"/>
      <c r="H107" s="4"/>
      <c r="I107" s="4"/>
    </row>
    <row r="108" spans="1:9">
      <c r="A108" s="15"/>
      <c r="B108" s="4"/>
      <c r="C108" s="4"/>
      <c r="D108" s="4"/>
      <c r="E108" s="4"/>
      <c r="F108" s="4"/>
      <c r="G108" s="4"/>
      <c r="H108" s="4"/>
      <c r="I108" s="4"/>
    </row>
    <row r="109" spans="1:9">
      <c r="A109" s="15"/>
      <c r="B109" s="4"/>
      <c r="C109" s="4"/>
      <c r="D109" s="4"/>
      <c r="E109" s="4"/>
      <c r="F109" s="4"/>
      <c r="G109" s="4"/>
      <c r="H109" s="4"/>
      <c r="I109" s="4"/>
    </row>
    <row r="110" spans="1:9">
      <c r="A110" s="15"/>
      <c r="B110" s="4"/>
      <c r="C110" s="4"/>
      <c r="D110" s="4"/>
      <c r="E110" s="4"/>
      <c r="F110" s="4"/>
      <c r="G110" s="4"/>
      <c r="H110" s="4"/>
      <c r="I110" s="4"/>
    </row>
    <row r="111" spans="1:9">
      <c r="A111" s="15"/>
      <c r="B111" s="4"/>
      <c r="C111" s="4"/>
      <c r="D111" s="4"/>
      <c r="E111" s="4"/>
      <c r="F111" s="4"/>
      <c r="G111" s="4"/>
      <c r="H111" s="4"/>
      <c r="I111" s="4"/>
    </row>
    <row r="112" spans="1:9">
      <c r="A112" s="15"/>
      <c r="B112" s="4"/>
      <c r="C112" s="4"/>
      <c r="D112" s="4"/>
      <c r="E112" s="4"/>
      <c r="F112" s="4"/>
      <c r="G112" s="4"/>
      <c r="H112" s="4"/>
      <c r="I112" s="4"/>
    </row>
    <row r="113" spans="1:9">
      <c r="A113" s="15"/>
      <c r="B113" s="4"/>
      <c r="C113" s="4"/>
      <c r="D113" s="4"/>
      <c r="E113" s="4"/>
      <c r="F113" s="4"/>
      <c r="G113" s="4"/>
      <c r="H113" s="4"/>
      <c r="I113" s="4"/>
    </row>
    <row r="114" spans="1:9">
      <c r="A114" s="15"/>
      <c r="B114" s="4"/>
      <c r="C114" s="4"/>
      <c r="D114" s="4"/>
      <c r="E114" s="4"/>
      <c r="F114" s="4"/>
      <c r="G114" s="4"/>
      <c r="H114" s="4"/>
      <c r="I114" s="4"/>
    </row>
    <row r="115" spans="1:9">
      <c r="A115" s="15"/>
      <c r="B115" s="4"/>
      <c r="C115" s="4"/>
      <c r="D115" s="4"/>
      <c r="E115" s="4"/>
      <c r="F115" s="4"/>
      <c r="G115" s="4"/>
      <c r="H115" s="4"/>
      <c r="I115" s="4"/>
    </row>
    <row r="116" spans="1:9">
      <c r="A116" s="15"/>
      <c r="B116" s="4"/>
      <c r="C116" s="4"/>
      <c r="D116" s="4"/>
      <c r="E116" s="4"/>
      <c r="F116" s="4"/>
      <c r="G116" s="4"/>
      <c r="H116" s="4"/>
      <c r="I116" s="4"/>
    </row>
    <row r="117" spans="1:9">
      <c r="A117" s="15"/>
      <c r="B117" s="4"/>
      <c r="C117" s="4"/>
      <c r="D117" s="4"/>
      <c r="E117" s="4"/>
      <c r="F117" s="4"/>
      <c r="G117" s="4"/>
      <c r="H117" s="4"/>
      <c r="I117" s="4"/>
    </row>
    <row r="118" spans="1:9">
      <c r="A118" s="15"/>
      <c r="B118" s="4"/>
      <c r="C118" s="4"/>
      <c r="D118" s="4"/>
      <c r="E118" s="4"/>
      <c r="F118" s="4"/>
      <c r="G118" s="4"/>
      <c r="H118" s="4"/>
      <c r="I118" s="4"/>
    </row>
    <row r="119" spans="1:9">
      <c r="A119" s="15"/>
      <c r="B119" s="4"/>
      <c r="C119" s="4"/>
      <c r="D119" s="4"/>
      <c r="E119" s="4"/>
      <c r="F119" s="4"/>
      <c r="G119" s="4"/>
      <c r="H119" s="4"/>
      <c r="I119" s="4"/>
    </row>
    <row r="120" spans="1:9">
      <c r="A120" s="15"/>
      <c r="B120" s="4"/>
      <c r="C120" s="4"/>
      <c r="D120" s="4"/>
      <c r="E120" s="4"/>
      <c r="F120" s="4"/>
      <c r="G120" s="4"/>
      <c r="H120" s="4"/>
      <c r="I120" s="4"/>
    </row>
    <row r="121" spans="1:9">
      <c r="A121" s="15"/>
      <c r="B121" s="4"/>
      <c r="C121" s="4"/>
      <c r="D121" s="4"/>
      <c r="E121" s="4"/>
      <c r="F121" s="4"/>
      <c r="G121" s="4"/>
      <c r="H121" s="4"/>
      <c r="I121" s="4"/>
    </row>
    <row r="122" spans="1:9">
      <c r="A122" s="15"/>
      <c r="B122" s="4"/>
      <c r="C122" s="4"/>
      <c r="D122" s="4"/>
      <c r="E122" s="4"/>
      <c r="F122" s="4"/>
      <c r="G122" s="4"/>
      <c r="H122" s="4"/>
      <c r="I122" s="4"/>
    </row>
    <row r="123" spans="1:9">
      <c r="A123" s="15"/>
      <c r="B123" s="4"/>
      <c r="C123" s="4"/>
      <c r="D123" s="4"/>
      <c r="E123" s="4"/>
      <c r="F123" s="4"/>
      <c r="G123" s="4"/>
      <c r="H123" s="4"/>
      <c r="I123" s="4"/>
    </row>
    <row r="124" spans="1:9">
      <c r="A124" s="15"/>
      <c r="B124" s="4"/>
      <c r="C124" s="4"/>
      <c r="D124" s="4"/>
      <c r="E124" s="4"/>
      <c r="F124" s="4"/>
      <c r="G124" s="4"/>
      <c r="H124" s="4"/>
      <c r="I124" s="4"/>
    </row>
    <row r="125" spans="1:9">
      <c r="A125" s="15"/>
      <c r="B125" s="4"/>
      <c r="C125" s="4"/>
      <c r="D125" s="4"/>
      <c r="E125" s="4"/>
      <c r="F125" s="4"/>
      <c r="G125" s="4"/>
      <c r="H125" s="4"/>
      <c r="I125" s="4"/>
    </row>
    <row r="126" spans="1:9">
      <c r="A126" s="15"/>
      <c r="B126" s="4"/>
      <c r="C126" s="4"/>
      <c r="D126" s="4"/>
      <c r="E126" s="4"/>
      <c r="F126" s="4"/>
      <c r="G126" s="4"/>
      <c r="H126" s="4"/>
      <c r="I126" s="4"/>
    </row>
    <row r="127" spans="1:9">
      <c r="A127" s="15"/>
      <c r="B127" s="4"/>
      <c r="C127" s="4"/>
      <c r="D127" s="4"/>
      <c r="E127" s="4"/>
      <c r="F127" s="4"/>
      <c r="G127" s="4"/>
      <c r="H127" s="4"/>
      <c r="I127" s="4"/>
    </row>
    <row r="128" spans="1:9">
      <c r="A128" s="15"/>
      <c r="B128" s="4"/>
      <c r="C128" s="4"/>
      <c r="D128" s="4"/>
      <c r="E128" s="4"/>
      <c r="F128" s="4"/>
      <c r="G128" s="4"/>
      <c r="H128" s="4"/>
      <c r="I128" s="4"/>
    </row>
    <row r="129" spans="1:9">
      <c r="A129" s="15"/>
      <c r="B129" s="4"/>
      <c r="C129" s="4"/>
      <c r="D129" s="4"/>
      <c r="E129" s="4"/>
      <c r="F129" s="4"/>
      <c r="G129" s="4"/>
      <c r="H129" s="4"/>
      <c r="I129" s="4"/>
    </row>
    <row r="130" spans="1:9">
      <c r="A130" s="15"/>
      <c r="B130" s="4"/>
      <c r="C130" s="4"/>
      <c r="D130" s="4"/>
      <c r="E130" s="4"/>
      <c r="F130" s="4"/>
      <c r="G130" s="4"/>
      <c r="H130" s="4"/>
      <c r="I130" s="4"/>
    </row>
    <row r="131" spans="1:9">
      <c r="A131" s="15"/>
      <c r="B131" s="4"/>
      <c r="C131" s="4"/>
      <c r="D131" s="4"/>
      <c r="E131" s="4"/>
      <c r="F131" s="4"/>
      <c r="G131" s="4"/>
      <c r="H131" s="4"/>
      <c r="I131" s="4"/>
    </row>
    <row r="132" spans="1:9">
      <c r="A132" s="15"/>
      <c r="B132" s="4"/>
      <c r="C132" s="4"/>
      <c r="D132" s="4"/>
      <c r="E132" s="4"/>
      <c r="F132" s="4"/>
      <c r="G132" s="4"/>
      <c r="H132" s="4"/>
      <c r="I132" s="4"/>
    </row>
    <row r="133" spans="1:9">
      <c r="A133" s="15"/>
      <c r="B133" s="4"/>
      <c r="C133" s="4"/>
      <c r="D133" s="4"/>
      <c r="E133" s="4"/>
      <c r="F133" s="4"/>
      <c r="G133" s="4"/>
      <c r="H133" s="4"/>
      <c r="I133" s="4"/>
    </row>
    <row r="134" spans="1:9">
      <c r="A134" s="15"/>
      <c r="B134" s="4"/>
      <c r="C134" s="4"/>
      <c r="D134" s="4"/>
      <c r="E134" s="4"/>
      <c r="F134" s="4"/>
      <c r="G134" s="4"/>
      <c r="H134" s="4"/>
      <c r="I134" s="4"/>
    </row>
    <row r="135" spans="1:9">
      <c r="A135" s="15"/>
      <c r="B135" s="4"/>
      <c r="C135" s="4"/>
      <c r="D135" s="4"/>
      <c r="E135" s="4"/>
      <c r="F135" s="4"/>
      <c r="G135" s="4"/>
      <c r="H135" s="4"/>
      <c r="I135" s="4"/>
    </row>
    <row r="136" spans="1:9">
      <c r="A136" s="15"/>
      <c r="B136" s="4"/>
      <c r="C136" s="4"/>
      <c r="D136" s="4"/>
      <c r="E136" s="4"/>
      <c r="F136" s="4"/>
      <c r="G136" s="4"/>
      <c r="H136" s="4"/>
      <c r="I136" s="4"/>
    </row>
    <row r="137" spans="1:9">
      <c r="A137" s="15"/>
      <c r="B137" s="4"/>
      <c r="C137" s="4"/>
      <c r="D137" s="4"/>
      <c r="E137" s="4"/>
      <c r="F137" s="4"/>
      <c r="G137" s="4"/>
      <c r="H137" s="4"/>
      <c r="I137" s="4"/>
    </row>
    <row r="138" spans="1:9">
      <c r="A138" s="15"/>
      <c r="B138" s="4"/>
      <c r="C138" s="4"/>
      <c r="D138" s="4"/>
      <c r="E138" s="4"/>
      <c r="F138" s="4"/>
      <c r="G138" s="4"/>
      <c r="H138" s="4"/>
      <c r="I138" s="4"/>
    </row>
    <row r="139" spans="1:9">
      <c r="A139" s="15"/>
      <c r="B139" s="4"/>
      <c r="C139" s="4"/>
      <c r="D139" s="4"/>
      <c r="E139" s="4"/>
      <c r="F139" s="4"/>
      <c r="G139" s="4"/>
      <c r="H139" s="4"/>
      <c r="I139" s="4"/>
    </row>
    <row r="140" spans="1:9">
      <c r="A140" s="15"/>
      <c r="B140" s="4"/>
      <c r="C140" s="4"/>
      <c r="D140" s="4"/>
      <c r="E140" s="4"/>
      <c r="F140" s="4"/>
      <c r="G140" s="4"/>
      <c r="H140" s="4"/>
      <c r="I140" s="4"/>
    </row>
    <row r="141" spans="1:9">
      <c r="A141" s="15"/>
      <c r="B141" s="4"/>
      <c r="C141" s="4"/>
      <c r="D141" s="4"/>
      <c r="E141" s="4"/>
      <c r="F141" s="4"/>
      <c r="G141" s="4"/>
      <c r="H141" s="4"/>
      <c r="I141" s="4"/>
    </row>
    <row r="142" spans="1:9">
      <c r="A142" s="15"/>
      <c r="B142" s="4"/>
      <c r="C142" s="4"/>
      <c r="D142" s="4"/>
      <c r="E142" s="4"/>
      <c r="F142" s="4"/>
      <c r="G142" s="4"/>
      <c r="H142" s="4"/>
      <c r="I142" s="4"/>
    </row>
    <row r="143" spans="1:9">
      <c r="A143" s="15"/>
      <c r="B143" s="4"/>
      <c r="C143" s="4"/>
      <c r="D143" s="4"/>
      <c r="E143" s="4"/>
      <c r="F143" s="4"/>
      <c r="G143" s="4"/>
      <c r="H143" s="4"/>
      <c r="I143" s="4"/>
    </row>
    <row r="144" spans="1:9">
      <c r="A144" s="15"/>
      <c r="B144" s="4"/>
      <c r="C144" s="4"/>
      <c r="D144" s="4"/>
      <c r="E144" s="4"/>
      <c r="F144" s="4"/>
      <c r="G144" s="4"/>
      <c r="H144" s="4"/>
      <c r="I144" s="4"/>
    </row>
    <row r="145" spans="1:9">
      <c r="A145" s="15"/>
      <c r="B145" s="4"/>
      <c r="C145" s="4"/>
      <c r="D145" s="4"/>
      <c r="E145" s="4"/>
      <c r="F145" s="4"/>
      <c r="G145" s="4"/>
      <c r="H145" s="4"/>
      <c r="I145" s="4"/>
    </row>
    <row r="146" spans="1:9">
      <c r="A146" s="15"/>
      <c r="B146" s="4"/>
      <c r="C146" s="4"/>
      <c r="D146" s="4"/>
      <c r="E146" s="4"/>
      <c r="F146" s="4"/>
      <c r="G146" s="4"/>
      <c r="H146" s="4"/>
      <c r="I146" s="4"/>
    </row>
    <row r="147" spans="1:9">
      <c r="A147" s="15"/>
      <c r="B147" s="4"/>
      <c r="C147" s="4"/>
      <c r="D147" s="4"/>
      <c r="E147" s="4"/>
      <c r="F147" s="4"/>
      <c r="G147" s="4"/>
      <c r="H147" s="4"/>
      <c r="I147" s="4"/>
    </row>
    <row r="148" spans="1:9">
      <c r="A148" s="15"/>
      <c r="B148" s="4"/>
      <c r="C148" s="4"/>
      <c r="D148" s="4"/>
      <c r="E148" s="4"/>
      <c r="F148" s="4"/>
      <c r="G148" s="4"/>
      <c r="H148" s="4"/>
      <c r="I148" s="4"/>
    </row>
    <row r="149" spans="1:9">
      <c r="A149" s="15"/>
      <c r="B149" s="4"/>
      <c r="C149" s="4"/>
      <c r="D149" s="4"/>
      <c r="E149" s="4"/>
      <c r="F149" s="4"/>
      <c r="G149" s="4"/>
      <c r="H149" s="4"/>
      <c r="I149" s="4"/>
    </row>
    <row r="150" spans="1:9">
      <c r="A150" s="15"/>
      <c r="B150" s="4"/>
      <c r="C150" s="4"/>
      <c r="D150" s="4"/>
      <c r="E150" s="4"/>
      <c r="F150" s="4"/>
      <c r="G150" s="4"/>
      <c r="H150" s="4"/>
      <c r="I150" s="4"/>
    </row>
    <row r="151" spans="1:9">
      <c r="A151" s="15"/>
      <c r="B151" s="4"/>
      <c r="C151" s="4"/>
      <c r="D151" s="4"/>
      <c r="E151" s="4"/>
      <c r="F151" s="4"/>
      <c r="G151" s="4"/>
      <c r="H151" s="4"/>
      <c r="I151" s="4"/>
    </row>
    <row r="152" spans="1:9">
      <c r="A152" s="15"/>
      <c r="B152" s="4"/>
      <c r="C152" s="4"/>
      <c r="D152" s="4"/>
      <c r="E152" s="4"/>
      <c r="F152" s="4"/>
      <c r="G152" s="4"/>
      <c r="H152" s="4"/>
      <c r="I152" s="4"/>
    </row>
    <row r="153" spans="1:9">
      <c r="A153" s="15"/>
      <c r="B153" s="4"/>
      <c r="C153" s="4"/>
      <c r="D153" s="4"/>
      <c r="E153" s="4"/>
      <c r="F153" s="4"/>
      <c r="G153" s="4"/>
      <c r="H153" s="4"/>
      <c r="I153" s="4"/>
    </row>
    <row r="154" spans="1:9">
      <c r="A154" s="15"/>
      <c r="B154" s="4"/>
      <c r="C154" s="4"/>
      <c r="D154" s="4"/>
      <c r="E154" s="4"/>
      <c r="F154" s="4"/>
      <c r="G154" s="4"/>
      <c r="H154" s="4"/>
      <c r="I154" s="4"/>
    </row>
    <row r="155" spans="1:9">
      <c r="A155" s="15"/>
      <c r="B155" s="4"/>
      <c r="C155" s="4"/>
      <c r="D155" s="4"/>
      <c r="E155" s="4"/>
      <c r="F155" s="4"/>
      <c r="G155" s="4"/>
      <c r="H155" s="4"/>
      <c r="I155" s="4"/>
    </row>
    <row r="156" spans="1:9">
      <c r="A156" s="15"/>
      <c r="B156" s="4"/>
      <c r="C156" s="4"/>
      <c r="D156" s="4"/>
      <c r="E156" s="4"/>
      <c r="F156" s="4"/>
      <c r="G156" s="4"/>
      <c r="H156" s="4"/>
      <c r="I156" s="4"/>
    </row>
    <row r="157" spans="1:9">
      <c r="A157" s="15"/>
      <c r="B157" s="4"/>
      <c r="C157" s="4"/>
      <c r="D157" s="4"/>
      <c r="E157" s="4"/>
      <c r="F157" s="4"/>
      <c r="G157" s="4"/>
      <c r="H157" s="4"/>
      <c r="I157" s="4"/>
    </row>
    <row r="158" spans="1:9">
      <c r="A158" s="15"/>
      <c r="B158" s="4"/>
      <c r="C158" s="4"/>
      <c r="D158" s="4"/>
      <c r="E158" s="4"/>
      <c r="F158" s="4"/>
      <c r="G158" s="4"/>
      <c r="H158" s="4"/>
      <c r="I158" s="4"/>
    </row>
    <row r="159" spans="1:9">
      <c r="A159" s="15"/>
      <c r="B159" s="4"/>
      <c r="C159" s="4"/>
      <c r="D159" s="4"/>
      <c r="E159" s="4"/>
      <c r="F159" s="4"/>
      <c r="G159" s="4"/>
      <c r="H159" s="4"/>
      <c r="I159" s="4"/>
    </row>
    <row r="160" spans="1:9">
      <c r="A160" s="15"/>
      <c r="B160" s="4"/>
      <c r="C160" s="4"/>
      <c r="D160" s="4"/>
      <c r="E160" s="4"/>
      <c r="F160" s="4"/>
      <c r="G160" s="4"/>
      <c r="H160" s="4"/>
      <c r="I160" s="4"/>
    </row>
    <row r="161" spans="1:9">
      <c r="A161" s="15"/>
      <c r="B161" s="4"/>
      <c r="C161" s="4"/>
      <c r="D161" s="4"/>
      <c r="E161" s="4"/>
      <c r="F161" s="4"/>
      <c r="G161" s="4"/>
      <c r="H161" s="4"/>
      <c r="I161" s="4"/>
    </row>
    <row r="162" spans="1:9">
      <c r="A162" s="15"/>
      <c r="B162" s="4"/>
      <c r="C162" s="4"/>
      <c r="D162" s="4"/>
      <c r="E162" s="4"/>
      <c r="F162" s="4"/>
      <c r="G162" s="4"/>
      <c r="H162" s="4"/>
      <c r="I162" s="4"/>
    </row>
    <row r="163" spans="1:9">
      <c r="A163" s="15"/>
      <c r="B163" s="4"/>
      <c r="C163" s="4"/>
      <c r="D163" s="4"/>
      <c r="E163" s="4"/>
      <c r="F163" s="4"/>
      <c r="G163" s="4"/>
      <c r="H163" s="4"/>
      <c r="I163" s="4"/>
    </row>
    <row r="164" spans="1:9">
      <c r="A164" s="15"/>
      <c r="B164" s="4"/>
      <c r="C164" s="4"/>
      <c r="D164" s="4"/>
      <c r="E164" s="4"/>
      <c r="F164" s="4"/>
      <c r="G164" s="4"/>
      <c r="H164" s="4"/>
      <c r="I164" s="4"/>
    </row>
    <row r="165" spans="1:9">
      <c r="A165" s="15"/>
      <c r="B165" s="4"/>
      <c r="C165" s="4"/>
      <c r="D165" s="4"/>
      <c r="E165" s="4"/>
      <c r="F165" s="4"/>
      <c r="G165" s="4"/>
      <c r="H165" s="4"/>
      <c r="I165" s="4"/>
    </row>
    <row r="166" spans="1:9">
      <c r="A166" s="15"/>
      <c r="B166" s="4"/>
      <c r="C166" s="4"/>
      <c r="D166" s="4"/>
      <c r="E166" s="4"/>
      <c r="F166" s="4"/>
      <c r="G166" s="4"/>
      <c r="H166" s="4"/>
      <c r="I166" s="4"/>
    </row>
    <row r="167" spans="1:9">
      <c r="A167" s="15"/>
      <c r="B167" s="4"/>
      <c r="C167" s="4"/>
      <c r="D167" s="4"/>
      <c r="E167" s="4"/>
      <c r="F167" s="4"/>
      <c r="G167" s="4"/>
      <c r="H167" s="4"/>
      <c r="I167" s="4"/>
    </row>
    <row r="168" spans="1:9">
      <c r="A168" s="15"/>
      <c r="B168" s="4"/>
      <c r="C168" s="4"/>
      <c r="D168" s="4"/>
      <c r="E168" s="4"/>
      <c r="F168" s="4"/>
      <c r="G168" s="4"/>
      <c r="H168" s="4"/>
      <c r="I168" s="4"/>
    </row>
    <row r="169" spans="1:9">
      <c r="A169" s="15"/>
      <c r="B169" s="4"/>
      <c r="C169" s="4"/>
      <c r="D169" s="4"/>
      <c r="E169" s="4"/>
      <c r="F169" s="4"/>
      <c r="G169" s="4"/>
      <c r="H169" s="4"/>
      <c r="I169" s="4"/>
    </row>
    <row r="170" spans="1:9">
      <c r="A170" s="15"/>
      <c r="B170" s="4"/>
      <c r="C170" s="4"/>
      <c r="D170" s="4"/>
      <c r="E170" s="4"/>
      <c r="F170" s="4"/>
      <c r="G170" s="4"/>
      <c r="H170" s="4"/>
      <c r="I170" s="4"/>
    </row>
    <row r="171" spans="1:9">
      <c r="A171" s="15"/>
      <c r="B171" s="4"/>
      <c r="C171" s="4"/>
      <c r="D171" s="4"/>
      <c r="E171" s="4"/>
      <c r="F171" s="4"/>
      <c r="G171" s="4"/>
      <c r="H171" s="4"/>
      <c r="I171" s="4"/>
    </row>
    <row r="172" spans="1:9">
      <c r="A172" s="15"/>
      <c r="B172" s="4"/>
      <c r="C172" s="4"/>
      <c r="D172" s="4"/>
      <c r="E172" s="4"/>
      <c r="F172" s="4"/>
      <c r="G172" s="4"/>
      <c r="H172" s="4"/>
      <c r="I172" s="4"/>
    </row>
    <row r="173" spans="1:9">
      <c r="A173" s="15"/>
      <c r="B173" s="4"/>
      <c r="C173" s="4"/>
      <c r="D173" s="4"/>
      <c r="E173" s="4"/>
      <c r="F173" s="4"/>
      <c r="G173" s="4"/>
      <c r="H173" s="4"/>
      <c r="I173" s="4"/>
    </row>
    <row r="174" spans="1:9">
      <c r="A174" s="15"/>
      <c r="B174" s="4"/>
      <c r="C174" s="4"/>
      <c r="D174" s="4"/>
      <c r="E174" s="4"/>
      <c r="F174" s="4"/>
      <c r="G174" s="4"/>
      <c r="H174" s="4"/>
      <c r="I174" s="4"/>
    </row>
    <row r="175" spans="1:9">
      <c r="A175" s="15"/>
      <c r="B175" s="4"/>
      <c r="C175" s="4"/>
      <c r="D175" s="4"/>
      <c r="E175" s="4"/>
      <c r="F175" s="4"/>
      <c r="G175" s="4"/>
      <c r="H175" s="4"/>
      <c r="I175" s="4"/>
    </row>
    <row r="176" spans="1:9">
      <c r="A176" s="15"/>
      <c r="B176" s="4"/>
      <c r="C176" s="4"/>
      <c r="D176" s="4"/>
      <c r="E176" s="4"/>
      <c r="F176" s="4"/>
      <c r="G176" s="4"/>
      <c r="H176" s="4"/>
      <c r="I176" s="4"/>
    </row>
    <row r="177" spans="1:9">
      <c r="A177" s="15"/>
      <c r="B177" s="4"/>
      <c r="C177" s="4"/>
      <c r="D177" s="4"/>
      <c r="E177" s="4"/>
      <c r="F177" s="4"/>
      <c r="G177" s="4"/>
      <c r="H177" s="4"/>
      <c r="I177" s="4"/>
    </row>
    <row r="178" spans="1:9">
      <c r="A178" s="15"/>
      <c r="B178" s="4"/>
      <c r="C178" s="4"/>
      <c r="D178" s="4"/>
      <c r="E178" s="4"/>
      <c r="F178" s="4"/>
      <c r="G178" s="4"/>
      <c r="H178" s="4"/>
      <c r="I178" s="4"/>
    </row>
    <row r="179" spans="1:9">
      <c r="A179" s="15"/>
      <c r="B179" s="4"/>
      <c r="C179" s="4"/>
      <c r="D179" s="4"/>
      <c r="E179" s="4"/>
      <c r="F179" s="4"/>
      <c r="G179" s="4"/>
      <c r="H179" s="4"/>
      <c r="I179" s="4"/>
    </row>
    <row r="180" spans="1:9">
      <c r="A180" s="15"/>
      <c r="B180" s="4"/>
      <c r="C180" s="4"/>
      <c r="D180" s="4"/>
      <c r="E180" s="4"/>
      <c r="F180" s="4"/>
      <c r="G180" s="4"/>
      <c r="H180" s="4"/>
      <c r="I180" s="4"/>
    </row>
    <row r="181" spans="1:9">
      <c r="A181" s="15"/>
      <c r="B181" s="4"/>
      <c r="C181" s="4"/>
      <c r="D181" s="4"/>
      <c r="E181" s="4"/>
      <c r="F181" s="4"/>
      <c r="G181" s="4"/>
      <c r="H181" s="4"/>
      <c r="I181" s="4"/>
    </row>
    <row r="182" spans="1:9">
      <c r="A182" s="15"/>
      <c r="B182" s="4"/>
      <c r="C182" s="4"/>
      <c r="D182" s="4"/>
      <c r="E182" s="4"/>
      <c r="F182" s="4"/>
      <c r="G182" s="4"/>
      <c r="H182" s="4"/>
      <c r="I182" s="4"/>
    </row>
    <row r="183" spans="1:9">
      <c r="A183" s="15"/>
      <c r="B183" s="4"/>
      <c r="C183" s="4"/>
      <c r="D183" s="4"/>
      <c r="E183" s="4"/>
      <c r="F183" s="4"/>
      <c r="G183" s="4"/>
      <c r="H183" s="4"/>
      <c r="I183" s="4"/>
    </row>
    <row r="184" spans="1:9">
      <c r="A184" s="15"/>
      <c r="B184" s="4"/>
      <c r="C184" s="4"/>
      <c r="D184" s="4"/>
      <c r="E184" s="4"/>
      <c r="F184" s="4"/>
      <c r="G184" s="4"/>
      <c r="H184" s="4"/>
      <c r="I184" s="4"/>
    </row>
    <row r="185" spans="1:9">
      <c r="A185" s="15"/>
      <c r="B185" s="4"/>
      <c r="C185" s="4"/>
      <c r="D185" s="4"/>
      <c r="E185" s="4"/>
      <c r="F185" s="4"/>
      <c r="G185" s="4"/>
      <c r="H185" s="4"/>
      <c r="I185" s="4"/>
    </row>
    <row r="186" spans="1:9">
      <c r="A186" s="15"/>
      <c r="B186" s="4"/>
      <c r="C186" s="4"/>
      <c r="D186" s="4"/>
      <c r="E186" s="4"/>
      <c r="F186" s="4"/>
      <c r="G186" s="4"/>
      <c r="H186" s="4"/>
      <c r="I186" s="4"/>
    </row>
    <row r="187" spans="1:9">
      <c r="A187" s="15"/>
      <c r="B187" s="4"/>
      <c r="C187" s="4"/>
      <c r="D187" s="4"/>
      <c r="E187" s="4"/>
      <c r="F187" s="4"/>
      <c r="G187" s="4"/>
      <c r="H187" s="4"/>
      <c r="I187" s="4"/>
    </row>
    <row r="188" spans="1:9">
      <c r="A188" s="15"/>
      <c r="B188" s="4"/>
      <c r="C188" s="4"/>
      <c r="D188" s="4"/>
      <c r="E188" s="4"/>
      <c r="F188" s="4"/>
      <c r="G188" s="4"/>
      <c r="H188" s="4"/>
      <c r="I188" s="4"/>
    </row>
    <row r="189" spans="1:9">
      <c r="A189" s="15"/>
      <c r="B189" s="4"/>
      <c r="C189" s="4"/>
      <c r="D189" s="4"/>
      <c r="E189" s="4"/>
      <c r="F189" s="4"/>
      <c r="G189" s="4"/>
      <c r="H189" s="4"/>
      <c r="I189" s="4"/>
    </row>
    <row r="190" spans="1:9">
      <c r="A190" s="15"/>
      <c r="B190" s="4"/>
      <c r="C190" s="4"/>
      <c r="D190" s="4"/>
      <c r="E190" s="4"/>
      <c r="F190" s="4"/>
      <c r="G190" s="4"/>
      <c r="H190" s="4"/>
      <c r="I190" s="4"/>
    </row>
    <row r="191" spans="1:9">
      <c r="A191" s="15"/>
      <c r="B191" s="4"/>
      <c r="C191" s="4"/>
      <c r="D191" s="4"/>
      <c r="E191" s="4"/>
      <c r="F191" s="4"/>
      <c r="G191" s="4"/>
      <c r="H191" s="4"/>
      <c r="I191" s="4"/>
    </row>
    <row r="192" spans="1:9">
      <c r="A192" s="15"/>
      <c r="B192" s="4"/>
      <c r="C192" s="4"/>
      <c r="D192" s="4"/>
      <c r="E192" s="4"/>
      <c r="F192" s="4"/>
      <c r="G192" s="4"/>
      <c r="H192" s="4"/>
      <c r="I192" s="4"/>
    </row>
    <row r="193" spans="1:9">
      <c r="A193" s="15"/>
      <c r="B193" s="4"/>
      <c r="C193" s="4"/>
      <c r="D193" s="4"/>
      <c r="E193" s="4"/>
      <c r="F193" s="4"/>
      <c r="G193" s="4"/>
      <c r="H193" s="4"/>
      <c r="I193" s="4"/>
    </row>
    <row r="194" spans="1:9">
      <c r="A194" s="15"/>
      <c r="B194" s="4"/>
      <c r="C194" s="4"/>
      <c r="D194" s="4"/>
      <c r="E194" s="4"/>
      <c r="F194" s="4"/>
      <c r="G194" s="4"/>
      <c r="H194" s="4"/>
      <c r="I194" s="4"/>
    </row>
    <row r="195" spans="1:9">
      <c r="A195" s="15"/>
      <c r="B195" s="4"/>
      <c r="C195" s="4"/>
      <c r="D195" s="4"/>
      <c r="E195" s="4"/>
      <c r="F195" s="4"/>
      <c r="G195" s="4"/>
      <c r="H195" s="4"/>
      <c r="I195" s="4"/>
    </row>
    <row r="196" spans="1:9">
      <c r="A196" s="15"/>
      <c r="B196" s="4"/>
      <c r="C196" s="4"/>
      <c r="D196" s="4"/>
      <c r="E196" s="4"/>
      <c r="F196" s="4"/>
      <c r="G196" s="4"/>
      <c r="H196" s="4"/>
      <c r="I196" s="4"/>
    </row>
    <row r="197" spans="1:9">
      <c r="A197" s="15"/>
      <c r="B197" s="4"/>
      <c r="C197" s="4"/>
      <c r="D197" s="4"/>
      <c r="E197" s="4"/>
      <c r="F197" s="4"/>
      <c r="G197" s="4"/>
      <c r="H197" s="4"/>
      <c r="I197" s="4"/>
    </row>
    <row r="198" spans="1:9">
      <c r="A198" s="15"/>
      <c r="B198" s="4"/>
      <c r="C198" s="4"/>
      <c r="D198" s="4"/>
      <c r="E198" s="4"/>
      <c r="F198" s="4"/>
      <c r="G198" s="4"/>
      <c r="H198" s="4"/>
      <c r="I198" s="4"/>
    </row>
    <row r="199" spans="1:9">
      <c r="A199" s="15"/>
      <c r="B199" s="4"/>
      <c r="C199" s="4"/>
      <c r="D199" s="4"/>
      <c r="E199" s="4"/>
      <c r="F199" s="4"/>
      <c r="G199" s="4"/>
      <c r="H199" s="4"/>
      <c r="I199" s="4"/>
    </row>
    <row r="200" spans="1:9">
      <c r="A200" s="15"/>
      <c r="B200" s="4"/>
      <c r="C200" s="4"/>
      <c r="D200" s="4"/>
      <c r="E200" s="4"/>
      <c r="F200" s="4"/>
      <c r="G200" s="4"/>
      <c r="H200" s="4"/>
      <c r="I200" s="4"/>
    </row>
    <row r="201" spans="1:9">
      <c r="A201" s="15"/>
      <c r="B201" s="4"/>
      <c r="C201" s="4"/>
      <c r="D201" s="4"/>
      <c r="E201" s="4"/>
      <c r="F201" s="4"/>
      <c r="G201" s="4"/>
      <c r="H201" s="4"/>
      <c r="I201" s="4"/>
    </row>
    <row r="202" spans="1:9">
      <c r="A202" s="15"/>
      <c r="B202" s="4"/>
      <c r="C202" s="4"/>
      <c r="D202" s="4"/>
      <c r="E202" s="4"/>
      <c r="F202" s="4"/>
      <c r="G202" s="4"/>
      <c r="H202" s="4"/>
      <c r="I202" s="4"/>
    </row>
    <row r="203" spans="1:9">
      <c r="A203" s="15"/>
      <c r="B203" s="4"/>
      <c r="C203" s="4"/>
      <c r="D203" s="4"/>
      <c r="E203" s="4"/>
      <c r="F203" s="4"/>
      <c r="G203" s="4"/>
      <c r="H203" s="4"/>
      <c r="I203" s="4"/>
    </row>
    <row r="204" spans="1:9">
      <c r="A204" s="15"/>
      <c r="B204" s="4"/>
      <c r="C204" s="4"/>
      <c r="D204" s="4"/>
      <c r="E204" s="4"/>
      <c r="F204" s="4"/>
      <c r="G204" s="4"/>
      <c r="H204" s="4"/>
      <c r="I204" s="4"/>
    </row>
    <row r="205" spans="1:9">
      <c r="A205" s="15"/>
      <c r="B205" s="4"/>
      <c r="C205" s="4"/>
      <c r="D205" s="4"/>
      <c r="E205" s="4"/>
      <c r="F205" s="4"/>
      <c r="G205" s="4"/>
      <c r="H205" s="4"/>
      <c r="I205" s="4"/>
    </row>
    <row r="206" spans="1:9">
      <c r="A206" s="15"/>
      <c r="B206" s="4"/>
      <c r="C206" s="4"/>
      <c r="D206" s="4"/>
      <c r="E206" s="4"/>
      <c r="F206" s="4"/>
      <c r="G206" s="4"/>
      <c r="H206" s="4"/>
      <c r="I206" s="4"/>
    </row>
    <row r="207" spans="1:9">
      <c r="A207" s="15"/>
      <c r="B207" s="4"/>
      <c r="C207" s="4"/>
      <c r="D207" s="4"/>
      <c r="E207" s="4"/>
      <c r="F207" s="4"/>
      <c r="G207" s="4"/>
      <c r="H207" s="4"/>
      <c r="I207" s="4"/>
    </row>
    <row r="208" spans="1:9">
      <c r="A208" s="15"/>
      <c r="B208" s="4"/>
      <c r="C208" s="4"/>
      <c r="D208" s="4"/>
      <c r="E208" s="4"/>
      <c r="F208" s="4"/>
      <c r="G208" s="4"/>
      <c r="H208" s="4"/>
      <c r="I208" s="4"/>
    </row>
    <row r="209" spans="1:9">
      <c r="A209" s="15"/>
      <c r="B209" s="4"/>
      <c r="C209" s="4"/>
      <c r="D209" s="4"/>
      <c r="E209" s="4"/>
      <c r="F209" s="4"/>
      <c r="G209" s="4"/>
      <c r="H209" s="4"/>
      <c r="I209" s="4"/>
    </row>
    <row r="210" spans="1:9">
      <c r="A210" s="15"/>
      <c r="B210" s="4"/>
      <c r="C210" s="4"/>
      <c r="D210" s="4"/>
      <c r="E210" s="4"/>
      <c r="F210" s="4"/>
      <c r="G210" s="4"/>
      <c r="H210" s="4"/>
      <c r="I210" s="4"/>
    </row>
    <row r="211" spans="1:9">
      <c r="A211" s="15"/>
      <c r="B211" s="4"/>
      <c r="C211" s="4"/>
      <c r="D211" s="4"/>
      <c r="E211" s="4"/>
      <c r="F211" s="4"/>
      <c r="G211" s="4"/>
      <c r="H211" s="4"/>
      <c r="I211" s="4"/>
    </row>
    <row r="212" spans="1:9">
      <c r="A212" s="15"/>
      <c r="B212" s="4"/>
      <c r="C212" s="4"/>
      <c r="D212" s="4"/>
      <c r="E212" s="4"/>
      <c r="F212" s="4"/>
      <c r="G212" s="4"/>
      <c r="H212" s="4"/>
      <c r="I212" s="4"/>
    </row>
    <row r="213" spans="1:9">
      <c r="A213" s="15"/>
      <c r="B213" s="4"/>
      <c r="C213" s="4"/>
      <c r="D213" s="4"/>
      <c r="E213" s="4"/>
      <c r="F213" s="4"/>
      <c r="G213" s="4"/>
      <c r="H213" s="4"/>
      <c r="I213" s="4"/>
    </row>
    <row r="214" spans="1:9">
      <c r="A214" s="15"/>
      <c r="B214" s="4"/>
      <c r="C214" s="4"/>
      <c r="D214" s="4"/>
      <c r="E214" s="4"/>
      <c r="F214" s="4"/>
      <c r="G214" s="4"/>
      <c r="H214" s="4"/>
      <c r="I214" s="4"/>
    </row>
    <row r="215" spans="1:9">
      <c r="A215" s="15"/>
      <c r="B215" s="4"/>
      <c r="C215" s="4"/>
      <c r="D215" s="4"/>
      <c r="E215" s="4"/>
      <c r="F215" s="4"/>
      <c r="G215" s="4"/>
      <c r="H215" s="4"/>
      <c r="I215" s="4"/>
    </row>
    <row r="216" spans="1:9">
      <c r="A216" s="15"/>
      <c r="B216" s="4"/>
      <c r="C216" s="4"/>
      <c r="D216" s="4"/>
      <c r="E216" s="4"/>
      <c r="F216" s="4"/>
      <c r="G216" s="4"/>
      <c r="H216" s="4"/>
      <c r="I216" s="4"/>
    </row>
    <row r="217" spans="1:9">
      <c r="A217" s="15"/>
      <c r="B217" s="4"/>
      <c r="C217" s="4"/>
      <c r="D217" s="4"/>
      <c r="E217" s="4"/>
      <c r="F217" s="4"/>
      <c r="G217" s="4"/>
      <c r="H217" s="4"/>
      <c r="I217" s="4"/>
    </row>
    <row r="218" spans="1:9">
      <c r="A218" s="15"/>
      <c r="B218" s="4"/>
      <c r="C218" s="4"/>
      <c r="D218" s="4"/>
      <c r="E218" s="4"/>
      <c r="F218" s="4"/>
      <c r="G218" s="4"/>
      <c r="H218" s="4"/>
      <c r="I218" s="4"/>
    </row>
    <row r="219" spans="1:9">
      <c r="A219" s="15"/>
      <c r="B219" s="4"/>
      <c r="C219" s="4"/>
      <c r="D219" s="4"/>
      <c r="E219" s="4"/>
      <c r="F219" s="4"/>
      <c r="G219" s="4"/>
      <c r="H219" s="4"/>
      <c r="I219" s="4"/>
    </row>
    <row r="220" spans="1:9">
      <c r="A220" s="15"/>
      <c r="B220" s="4"/>
      <c r="C220" s="4"/>
      <c r="D220" s="4"/>
      <c r="E220" s="4"/>
      <c r="F220" s="4"/>
      <c r="G220" s="4"/>
      <c r="H220" s="4"/>
      <c r="I220" s="4"/>
    </row>
    <row r="221" spans="1:9">
      <c r="A221" s="15"/>
      <c r="B221" s="4"/>
      <c r="C221" s="4"/>
      <c r="D221" s="4"/>
      <c r="E221" s="4"/>
      <c r="F221" s="4"/>
      <c r="G221" s="4"/>
      <c r="H221" s="4"/>
      <c r="I221" s="4"/>
    </row>
    <row r="222" spans="1:9">
      <c r="A222" s="15"/>
      <c r="B222" s="4"/>
      <c r="C222" s="4"/>
      <c r="D222" s="4"/>
      <c r="E222" s="4"/>
      <c r="F222" s="4"/>
      <c r="G222" s="4"/>
      <c r="H222" s="4"/>
      <c r="I222" s="4"/>
    </row>
    <row r="223" spans="1:9">
      <c r="A223" s="15"/>
      <c r="B223" s="4"/>
      <c r="C223" s="4"/>
      <c r="D223" s="4"/>
      <c r="E223" s="4"/>
      <c r="F223" s="4"/>
      <c r="G223" s="4"/>
      <c r="H223" s="4"/>
      <c r="I223" s="4"/>
    </row>
    <row r="224" spans="1:9">
      <c r="A224" s="15"/>
      <c r="B224" s="4"/>
      <c r="C224" s="4"/>
      <c r="D224" s="4"/>
      <c r="E224" s="4"/>
      <c r="F224" s="4"/>
      <c r="G224" s="4"/>
      <c r="H224" s="4"/>
      <c r="I224" s="4"/>
    </row>
    <row r="225" spans="1:9">
      <c r="A225" s="15"/>
      <c r="B225" s="4"/>
      <c r="C225" s="4"/>
      <c r="D225" s="4"/>
      <c r="E225" s="4"/>
      <c r="F225" s="4"/>
      <c r="G225" s="4"/>
      <c r="H225" s="4"/>
      <c r="I225" s="4"/>
    </row>
    <row r="226" spans="1:9">
      <c r="A226" s="15"/>
      <c r="B226" s="4"/>
      <c r="C226" s="4"/>
      <c r="D226" s="4"/>
      <c r="E226" s="4"/>
      <c r="F226" s="4"/>
      <c r="G226" s="4"/>
      <c r="H226" s="4"/>
      <c r="I226" s="4"/>
    </row>
    <row r="227" spans="1:9">
      <c r="A227" s="15"/>
      <c r="B227" s="4"/>
      <c r="C227" s="4"/>
      <c r="D227" s="4"/>
      <c r="E227" s="4"/>
      <c r="F227" s="4"/>
      <c r="G227" s="4"/>
      <c r="H227" s="4"/>
      <c r="I227" s="4"/>
    </row>
    <row r="228" spans="1:9">
      <c r="A228" s="15"/>
      <c r="B228" s="4"/>
      <c r="C228" s="4"/>
      <c r="D228" s="4"/>
      <c r="E228" s="4"/>
      <c r="F228" s="4"/>
      <c r="G228" s="4"/>
      <c r="H228" s="4"/>
      <c r="I228" s="4"/>
    </row>
    <row r="229" spans="1:9">
      <c r="A229" s="15"/>
      <c r="B229" s="4"/>
      <c r="C229" s="4"/>
      <c r="D229" s="4"/>
      <c r="E229" s="4"/>
      <c r="F229" s="4"/>
      <c r="G229" s="4"/>
      <c r="H229" s="4"/>
      <c r="I229" s="4"/>
    </row>
    <row r="230" spans="1:9">
      <c r="A230" s="15"/>
      <c r="B230" s="4"/>
      <c r="C230" s="4"/>
      <c r="D230" s="4"/>
      <c r="E230" s="4"/>
      <c r="F230" s="4"/>
      <c r="G230" s="4"/>
      <c r="H230" s="4"/>
      <c r="I230" s="4"/>
    </row>
    <row r="231" spans="1:9">
      <c r="A231" s="15"/>
      <c r="B231" s="4"/>
      <c r="C231" s="4"/>
      <c r="D231" s="4"/>
      <c r="E231" s="4"/>
      <c r="F231" s="4"/>
      <c r="G231" s="4"/>
      <c r="H231" s="4"/>
      <c r="I231" s="4"/>
    </row>
    <row r="232" spans="1:9">
      <c r="A232" s="15"/>
      <c r="B232" s="4"/>
      <c r="C232" s="4"/>
      <c r="D232" s="4"/>
      <c r="E232" s="4"/>
      <c r="F232" s="4"/>
      <c r="G232" s="4"/>
      <c r="H232" s="4"/>
      <c r="I232" s="4"/>
    </row>
    <row r="233" spans="1:9">
      <c r="A233" s="15"/>
      <c r="B233" s="4"/>
      <c r="C233" s="4"/>
      <c r="D233" s="4"/>
      <c r="E233" s="4"/>
      <c r="F233" s="4"/>
      <c r="G233" s="4"/>
      <c r="H233" s="4"/>
      <c r="I233" s="4"/>
    </row>
    <row r="234" spans="1:9">
      <c r="A234" s="15"/>
      <c r="B234" s="4"/>
      <c r="C234" s="4"/>
      <c r="D234" s="4"/>
      <c r="E234" s="4"/>
      <c r="F234" s="4"/>
      <c r="G234" s="4"/>
      <c r="H234" s="4"/>
      <c r="I234" s="4"/>
    </row>
    <row r="235" spans="1:9">
      <c r="A235" s="15"/>
      <c r="B235" s="4"/>
      <c r="C235" s="4"/>
      <c r="D235" s="4"/>
      <c r="E235" s="4"/>
      <c r="F235" s="4"/>
      <c r="G235" s="4"/>
      <c r="H235" s="4"/>
      <c r="I235" s="4"/>
    </row>
    <row r="236" spans="1:9">
      <c r="A236" s="15"/>
      <c r="B236" s="4"/>
      <c r="C236" s="4"/>
      <c r="D236" s="4"/>
      <c r="E236" s="4"/>
      <c r="F236" s="4"/>
      <c r="G236" s="4"/>
      <c r="H236" s="4"/>
      <c r="I236" s="4"/>
    </row>
    <row r="237" spans="1:9">
      <c r="A237" s="15"/>
      <c r="B237" s="4"/>
      <c r="C237" s="4"/>
      <c r="D237" s="4"/>
      <c r="E237" s="4"/>
      <c r="F237" s="4"/>
      <c r="G237" s="4"/>
      <c r="H237" s="4"/>
      <c r="I237" s="4"/>
    </row>
    <row r="238" spans="1:9">
      <c r="A238" s="15"/>
      <c r="B238" s="4"/>
      <c r="C238" s="4"/>
      <c r="D238" s="4"/>
      <c r="E238" s="4"/>
      <c r="F238" s="4"/>
      <c r="G238" s="4"/>
      <c r="H238" s="4"/>
      <c r="I238" s="4"/>
    </row>
    <row r="239" spans="1:9">
      <c r="A239" s="15"/>
      <c r="B239" s="4"/>
      <c r="C239" s="4"/>
      <c r="D239" s="4"/>
      <c r="E239" s="4"/>
      <c r="F239" s="4"/>
      <c r="G239" s="4"/>
      <c r="H239" s="4"/>
      <c r="I239" s="4"/>
    </row>
    <row r="240" spans="1:9">
      <c r="A240" s="15"/>
      <c r="B240" s="4"/>
      <c r="C240" s="4"/>
      <c r="D240" s="4"/>
      <c r="E240" s="4"/>
      <c r="F240" s="4"/>
      <c r="G240" s="4"/>
      <c r="H240" s="4"/>
      <c r="I240" s="4"/>
    </row>
    <row r="241" spans="1:9">
      <c r="A241" s="15"/>
      <c r="B241" s="4"/>
      <c r="C241" s="4"/>
      <c r="D241" s="4"/>
      <c r="E241" s="4"/>
      <c r="F241" s="4"/>
      <c r="G241" s="4"/>
      <c r="H241" s="4"/>
      <c r="I241" s="4"/>
    </row>
    <row r="242" spans="1:9">
      <c r="A242" s="15"/>
      <c r="B242" s="4"/>
      <c r="C242" s="4"/>
      <c r="D242" s="4"/>
      <c r="E242" s="4"/>
      <c r="F242" s="4"/>
      <c r="G242" s="4"/>
      <c r="H242" s="4"/>
      <c r="I242" s="4"/>
    </row>
    <row r="243" spans="1:9">
      <c r="A243" s="15"/>
      <c r="B243" s="4"/>
      <c r="C243" s="4"/>
      <c r="D243" s="4"/>
      <c r="E243" s="4"/>
      <c r="F243" s="4"/>
      <c r="G243" s="4"/>
      <c r="H243" s="4"/>
      <c r="I243" s="4"/>
    </row>
    <row r="244" spans="1:9">
      <c r="A244" s="15"/>
      <c r="B244" s="4"/>
      <c r="C244" s="4"/>
      <c r="D244" s="4"/>
      <c r="E244" s="4"/>
      <c r="F244" s="4"/>
      <c r="G244" s="4"/>
      <c r="H244" s="4"/>
      <c r="I244" s="4"/>
    </row>
    <row r="245" spans="1:9">
      <c r="A245" s="15"/>
      <c r="B245" s="4"/>
      <c r="C245" s="4"/>
      <c r="D245" s="4"/>
      <c r="E245" s="4"/>
      <c r="F245" s="4"/>
      <c r="G245" s="4"/>
      <c r="H245" s="4"/>
      <c r="I245" s="4"/>
    </row>
    <row r="246" spans="1:9">
      <c r="A246" s="15"/>
      <c r="B246" s="4"/>
      <c r="C246" s="4"/>
      <c r="D246" s="4"/>
      <c r="E246" s="4"/>
      <c r="F246" s="4"/>
      <c r="G246" s="4"/>
      <c r="H246" s="4"/>
      <c r="I246" s="4"/>
    </row>
    <row r="247" spans="1:9">
      <c r="A247" s="15"/>
      <c r="B247" s="4"/>
      <c r="C247" s="4"/>
      <c r="D247" s="4"/>
      <c r="E247" s="4"/>
      <c r="F247" s="4"/>
      <c r="G247" s="4"/>
      <c r="H247" s="4"/>
      <c r="I247" s="4"/>
    </row>
    <row r="248" spans="1:9">
      <c r="A248" s="15"/>
      <c r="B248" s="4"/>
      <c r="C248" s="4"/>
      <c r="D248" s="4"/>
      <c r="E248" s="4"/>
      <c r="F248" s="4"/>
      <c r="G248" s="4"/>
      <c r="H248" s="4"/>
      <c r="I248" s="4"/>
    </row>
  </sheetData>
  <mergeCells count="87">
    <mergeCell ref="AU12:AV12"/>
    <mergeCell ref="Z12:Z13"/>
    <mergeCell ref="AA12:AA13"/>
    <mergeCell ref="AC12:AD12"/>
    <mergeCell ref="AF12:AF13"/>
    <mergeCell ref="AG12:AG13"/>
    <mergeCell ref="AI12:AJ12"/>
    <mergeCell ref="B45:E45"/>
    <mergeCell ref="AL12:AL13"/>
    <mergeCell ref="AM12:AM13"/>
    <mergeCell ref="AO12:AP12"/>
    <mergeCell ref="AR12:AR13"/>
    <mergeCell ref="AX11:AY11"/>
    <mergeCell ref="D12:D13"/>
    <mergeCell ref="E12:F12"/>
    <mergeCell ref="K12:L12"/>
    <mergeCell ref="N12:N13"/>
    <mergeCell ref="O12:O13"/>
    <mergeCell ref="Q12:R12"/>
    <mergeCell ref="T12:T13"/>
    <mergeCell ref="U12:U13"/>
    <mergeCell ref="W12:X12"/>
    <mergeCell ref="AF11:AG11"/>
    <mergeCell ref="AI11:AK11"/>
    <mergeCell ref="AU11:AW11"/>
    <mergeCell ref="AX12:AX13"/>
    <mergeCell ref="AY12:AY13"/>
    <mergeCell ref="AS12:AS13"/>
    <mergeCell ref="Q9:U9"/>
    <mergeCell ref="AO10:AS10"/>
    <mergeCell ref="AH9:AH13"/>
    <mergeCell ref="AR11:AS11"/>
    <mergeCell ref="D10:G10"/>
    <mergeCell ref="H10:I10"/>
    <mergeCell ref="AU10:AY10"/>
    <mergeCell ref="D11:F11"/>
    <mergeCell ref="G11:G13"/>
    <mergeCell ref="H11:H13"/>
    <mergeCell ref="I11:I13"/>
    <mergeCell ref="K11:M11"/>
    <mergeCell ref="N11:O11"/>
    <mergeCell ref="Q11:S11"/>
    <mergeCell ref="T11:U11"/>
    <mergeCell ref="AN9:AN13"/>
    <mergeCell ref="AO9:AS9"/>
    <mergeCell ref="AT9:AT13"/>
    <mergeCell ref="AU9:AY9"/>
    <mergeCell ref="AL11:AM11"/>
    <mergeCell ref="AO11:AQ11"/>
    <mergeCell ref="AC9:AG9"/>
    <mergeCell ref="AZ6:AZ13"/>
    <mergeCell ref="J7:AG7"/>
    <mergeCell ref="AH7:AS7"/>
    <mergeCell ref="J8:O8"/>
    <mergeCell ref="P8:U8"/>
    <mergeCell ref="V8:AA8"/>
    <mergeCell ref="AB8:AG8"/>
    <mergeCell ref="AH8:AM8"/>
    <mergeCell ref="AN8:AS8"/>
    <mergeCell ref="AT8:AY8"/>
    <mergeCell ref="J9:J13"/>
    <mergeCell ref="K9:O9"/>
    <mergeCell ref="P9:P13"/>
    <mergeCell ref="AI9:AM9"/>
    <mergeCell ref="AI10:AM10"/>
    <mergeCell ref="W11:Y11"/>
    <mergeCell ref="A2:AY2"/>
    <mergeCell ref="A3:AZ3"/>
    <mergeCell ref="A4:AZ4"/>
    <mergeCell ref="A5:I5"/>
    <mergeCell ref="AQ5:AY5"/>
    <mergeCell ref="A6:A13"/>
    <mergeCell ref="B6:B13"/>
    <mergeCell ref="C6:I8"/>
    <mergeCell ref="J6:AS6"/>
    <mergeCell ref="AT6:AY7"/>
    <mergeCell ref="C9:C13"/>
    <mergeCell ref="D9:I9"/>
    <mergeCell ref="Z11:AA11"/>
    <mergeCell ref="AC11:AE11"/>
    <mergeCell ref="K10:O10"/>
    <mergeCell ref="Q10:U10"/>
    <mergeCell ref="W10:AA10"/>
    <mergeCell ref="AC10:AG10"/>
    <mergeCell ref="V9:V13"/>
    <mergeCell ref="W9:AA9"/>
    <mergeCell ref="AB9:AB13"/>
  </mergeCells>
  <printOptions horizontalCentered="1"/>
  <pageMargins left="0" right="0" top="0.5" bottom="0.6" header="0.3" footer="0.3"/>
  <pageSetup paperSize="9" scale="28" orientation="landscape" r:id="rId1"/>
  <headerFooter>
    <oddFooter>&amp;R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3"/>
  <sheetViews>
    <sheetView showZeros="0" topLeftCell="A2" zoomScale="60" zoomScaleNormal="60" workbookViewId="0">
      <selection activeCell="A4" sqref="A4:AF4"/>
    </sheetView>
  </sheetViews>
  <sheetFormatPr defaultColWidth="9.140625" defaultRowHeight="18.75"/>
  <cols>
    <col min="1" max="1" width="5.140625" style="14" customWidth="1"/>
    <col min="2" max="2" width="34.140625" style="10" customWidth="1"/>
    <col min="3" max="3" width="13.7109375" style="11" customWidth="1"/>
    <col min="4" max="5" width="10" style="11" customWidth="1"/>
    <col min="6" max="6" width="20.7109375" style="11" customWidth="1"/>
    <col min="7" max="7" width="10.28515625" style="12" customWidth="1"/>
    <col min="8" max="8" width="10" style="12" customWidth="1"/>
    <col min="9" max="9" width="8.42578125" style="12" customWidth="1"/>
    <col min="10" max="10" width="10" style="12" customWidth="1"/>
    <col min="11" max="11" width="10.85546875" style="12" customWidth="1"/>
    <col min="12" max="12" width="9.140625" style="12" customWidth="1"/>
    <col min="13" max="13" width="8.28515625" style="12" customWidth="1"/>
    <col min="14" max="14" width="10.28515625" style="12" customWidth="1"/>
    <col min="15" max="15" width="10.42578125" style="12" customWidth="1"/>
    <col min="16" max="16" width="8.42578125" style="12" customWidth="1"/>
    <col min="17" max="17" width="8.28515625" style="12" customWidth="1"/>
    <col min="18" max="19" width="10" style="12" customWidth="1"/>
    <col min="20" max="20" width="8.140625" style="12" customWidth="1"/>
    <col min="21" max="21" width="8.7109375" style="12" customWidth="1"/>
    <col min="22" max="22" width="8.42578125" style="12" customWidth="1"/>
    <col min="23" max="23" width="10.7109375" style="12" customWidth="1"/>
    <col min="24" max="24" width="8.85546875" style="12" customWidth="1"/>
    <col min="25" max="25" width="7.85546875" style="12" customWidth="1"/>
    <col min="26" max="26" width="9.42578125" style="12" customWidth="1"/>
    <col min="27" max="27" width="8.7109375" style="12" customWidth="1"/>
    <col min="28" max="28" width="7.85546875" style="4" customWidth="1"/>
    <col min="29" max="29" width="9.7109375" style="4" customWidth="1"/>
    <col min="30" max="30" width="8.42578125" style="4" customWidth="1"/>
    <col min="31" max="31" width="7.7109375" style="4" customWidth="1"/>
    <col min="32" max="256" width="9.140625" style="4"/>
    <col min="257" max="257" width="5.140625" style="4" customWidth="1"/>
    <col min="258" max="258" width="28.28515625" style="4" customWidth="1"/>
    <col min="259" max="283" width="10" style="4" customWidth="1"/>
    <col min="284" max="512" width="9.140625" style="4"/>
    <col min="513" max="513" width="5.140625" style="4" customWidth="1"/>
    <col min="514" max="514" width="28.28515625" style="4" customWidth="1"/>
    <col min="515" max="539" width="10" style="4" customWidth="1"/>
    <col min="540" max="768" width="9.140625" style="4"/>
    <col min="769" max="769" width="5.140625" style="4" customWidth="1"/>
    <col min="770" max="770" width="28.28515625" style="4" customWidth="1"/>
    <col min="771" max="795" width="10" style="4" customWidth="1"/>
    <col min="796" max="1024" width="9.140625" style="4"/>
    <col min="1025" max="1025" width="5.140625" style="4" customWidth="1"/>
    <col min="1026" max="1026" width="28.28515625" style="4" customWidth="1"/>
    <col min="1027" max="1051" width="10" style="4" customWidth="1"/>
    <col min="1052" max="1280" width="9.140625" style="4"/>
    <col min="1281" max="1281" width="5.140625" style="4" customWidth="1"/>
    <col min="1282" max="1282" width="28.28515625" style="4" customWidth="1"/>
    <col min="1283" max="1307" width="10" style="4" customWidth="1"/>
    <col min="1308" max="1536" width="9.140625" style="4"/>
    <col min="1537" max="1537" width="5.140625" style="4" customWidth="1"/>
    <col min="1538" max="1538" width="28.28515625" style="4" customWidth="1"/>
    <col min="1539" max="1563" width="10" style="4" customWidth="1"/>
    <col min="1564" max="1792" width="9.140625" style="4"/>
    <col min="1793" max="1793" width="5.140625" style="4" customWidth="1"/>
    <col min="1794" max="1794" width="28.28515625" style="4" customWidth="1"/>
    <col min="1795" max="1819" width="10" style="4" customWidth="1"/>
    <col min="1820" max="2048" width="9.140625" style="4"/>
    <col min="2049" max="2049" width="5.140625" style="4" customWidth="1"/>
    <col min="2050" max="2050" width="28.28515625" style="4" customWidth="1"/>
    <col min="2051" max="2075" width="10" style="4" customWidth="1"/>
    <col min="2076" max="2304" width="9.140625" style="4"/>
    <col min="2305" max="2305" width="5.140625" style="4" customWidth="1"/>
    <col min="2306" max="2306" width="28.28515625" style="4" customWidth="1"/>
    <col min="2307" max="2331" width="10" style="4" customWidth="1"/>
    <col min="2332" max="2560" width="9.140625" style="4"/>
    <col min="2561" max="2561" width="5.140625" style="4" customWidth="1"/>
    <col min="2562" max="2562" width="28.28515625" style="4" customWidth="1"/>
    <col min="2563" max="2587" width="10" style="4" customWidth="1"/>
    <col min="2588" max="2816" width="9.140625" style="4"/>
    <col min="2817" max="2817" width="5.140625" style="4" customWidth="1"/>
    <col min="2818" max="2818" width="28.28515625" style="4" customWidth="1"/>
    <col min="2819" max="2843" width="10" style="4" customWidth="1"/>
    <col min="2844" max="3072" width="9.140625" style="4"/>
    <col min="3073" max="3073" width="5.140625" style="4" customWidth="1"/>
    <col min="3074" max="3074" width="28.28515625" style="4" customWidth="1"/>
    <col min="3075" max="3099" width="10" style="4" customWidth="1"/>
    <col min="3100" max="3328" width="9.140625" style="4"/>
    <col min="3329" max="3329" width="5.140625" style="4" customWidth="1"/>
    <col min="3330" max="3330" width="28.28515625" style="4" customWidth="1"/>
    <col min="3331" max="3355" width="10" style="4" customWidth="1"/>
    <col min="3356" max="3584" width="9.140625" style="4"/>
    <col min="3585" max="3585" width="5.140625" style="4" customWidth="1"/>
    <col min="3586" max="3586" width="28.28515625" style="4" customWidth="1"/>
    <col min="3587" max="3611" width="10" style="4" customWidth="1"/>
    <col min="3612" max="3840" width="9.140625" style="4"/>
    <col min="3841" max="3841" width="5.140625" style="4" customWidth="1"/>
    <col min="3842" max="3842" width="28.28515625" style="4" customWidth="1"/>
    <col min="3843" max="3867" width="10" style="4" customWidth="1"/>
    <col min="3868" max="4096" width="9.140625" style="4"/>
    <col min="4097" max="4097" width="5.140625" style="4" customWidth="1"/>
    <col min="4098" max="4098" width="28.28515625" style="4" customWidth="1"/>
    <col min="4099" max="4123" width="10" style="4" customWidth="1"/>
    <col min="4124" max="4352" width="9.140625" style="4"/>
    <col min="4353" max="4353" width="5.140625" style="4" customWidth="1"/>
    <col min="4354" max="4354" width="28.28515625" style="4" customWidth="1"/>
    <col min="4355" max="4379" width="10" style="4" customWidth="1"/>
    <col min="4380" max="4608" width="9.140625" style="4"/>
    <col min="4609" max="4609" width="5.140625" style="4" customWidth="1"/>
    <col min="4610" max="4610" width="28.28515625" style="4" customWidth="1"/>
    <col min="4611" max="4635" width="10" style="4" customWidth="1"/>
    <col min="4636" max="4864" width="9.140625" style="4"/>
    <col min="4865" max="4865" width="5.140625" style="4" customWidth="1"/>
    <col min="4866" max="4866" width="28.28515625" style="4" customWidth="1"/>
    <col min="4867" max="4891" width="10" style="4" customWidth="1"/>
    <col min="4892" max="5120" width="9.140625" style="4"/>
    <col min="5121" max="5121" width="5.140625" style="4" customWidth="1"/>
    <col min="5122" max="5122" width="28.28515625" style="4" customWidth="1"/>
    <col min="5123" max="5147" width="10" style="4" customWidth="1"/>
    <col min="5148" max="5376" width="9.140625" style="4"/>
    <col min="5377" max="5377" width="5.140625" style="4" customWidth="1"/>
    <col min="5378" max="5378" width="28.28515625" style="4" customWidth="1"/>
    <col min="5379" max="5403" width="10" style="4" customWidth="1"/>
    <col min="5404" max="5632" width="9.140625" style="4"/>
    <col min="5633" max="5633" width="5.140625" style="4" customWidth="1"/>
    <col min="5634" max="5634" width="28.28515625" style="4" customWidth="1"/>
    <col min="5635" max="5659" width="10" style="4" customWidth="1"/>
    <col min="5660" max="5888" width="9.140625" style="4"/>
    <col min="5889" max="5889" width="5.140625" style="4" customWidth="1"/>
    <col min="5890" max="5890" width="28.28515625" style="4" customWidth="1"/>
    <col min="5891" max="5915" width="10" style="4" customWidth="1"/>
    <col min="5916" max="6144" width="9.140625" style="4"/>
    <col min="6145" max="6145" width="5.140625" style="4" customWidth="1"/>
    <col min="6146" max="6146" width="28.28515625" style="4" customWidth="1"/>
    <col min="6147" max="6171" width="10" style="4" customWidth="1"/>
    <col min="6172" max="6400" width="9.140625" style="4"/>
    <col min="6401" max="6401" width="5.140625" style="4" customWidth="1"/>
    <col min="6402" max="6402" width="28.28515625" style="4" customWidth="1"/>
    <col min="6403" max="6427" width="10" style="4" customWidth="1"/>
    <col min="6428" max="6656" width="9.140625" style="4"/>
    <col min="6657" max="6657" width="5.140625" style="4" customWidth="1"/>
    <col min="6658" max="6658" width="28.28515625" style="4" customWidth="1"/>
    <col min="6659" max="6683" width="10" style="4" customWidth="1"/>
    <col min="6684" max="6912" width="9.140625" style="4"/>
    <col min="6913" max="6913" width="5.140625" style="4" customWidth="1"/>
    <col min="6914" max="6914" width="28.28515625" style="4" customWidth="1"/>
    <col min="6915" max="6939" width="10" style="4" customWidth="1"/>
    <col min="6940" max="7168" width="9.140625" style="4"/>
    <col min="7169" max="7169" width="5.140625" style="4" customWidth="1"/>
    <col min="7170" max="7170" width="28.28515625" style="4" customWidth="1"/>
    <col min="7171" max="7195" width="10" style="4" customWidth="1"/>
    <col min="7196" max="7424" width="9.140625" style="4"/>
    <col min="7425" max="7425" width="5.140625" style="4" customWidth="1"/>
    <col min="7426" max="7426" width="28.28515625" style="4" customWidth="1"/>
    <col min="7427" max="7451" width="10" style="4" customWidth="1"/>
    <col min="7452" max="7680" width="9.140625" style="4"/>
    <col min="7681" max="7681" width="5.140625" style="4" customWidth="1"/>
    <col min="7682" max="7682" width="28.28515625" style="4" customWidth="1"/>
    <col min="7683" max="7707" width="10" style="4" customWidth="1"/>
    <col min="7708" max="7936" width="9.140625" style="4"/>
    <col min="7937" max="7937" width="5.140625" style="4" customWidth="1"/>
    <col min="7938" max="7938" width="28.28515625" style="4" customWidth="1"/>
    <col min="7939" max="7963" width="10" style="4" customWidth="1"/>
    <col min="7964" max="8192" width="9.140625" style="4"/>
    <col min="8193" max="8193" width="5.140625" style="4" customWidth="1"/>
    <col min="8194" max="8194" width="28.28515625" style="4" customWidth="1"/>
    <col min="8195" max="8219" width="10" style="4" customWidth="1"/>
    <col min="8220" max="8448" width="9.140625" style="4"/>
    <col min="8449" max="8449" width="5.140625" style="4" customWidth="1"/>
    <col min="8450" max="8450" width="28.28515625" style="4" customWidth="1"/>
    <col min="8451" max="8475" width="10" style="4" customWidth="1"/>
    <col min="8476" max="8704" width="9.140625" style="4"/>
    <col min="8705" max="8705" width="5.140625" style="4" customWidth="1"/>
    <col min="8706" max="8706" width="28.28515625" style="4" customWidth="1"/>
    <col min="8707" max="8731" width="10" style="4" customWidth="1"/>
    <col min="8732" max="8960" width="9.140625" style="4"/>
    <col min="8961" max="8961" width="5.140625" style="4" customWidth="1"/>
    <col min="8962" max="8962" width="28.28515625" style="4" customWidth="1"/>
    <col min="8963" max="8987" width="10" style="4" customWidth="1"/>
    <col min="8988" max="9216" width="9.140625" style="4"/>
    <col min="9217" max="9217" width="5.140625" style="4" customWidth="1"/>
    <col min="9218" max="9218" width="28.28515625" style="4" customWidth="1"/>
    <col min="9219" max="9243" width="10" style="4" customWidth="1"/>
    <col min="9244" max="9472" width="9.140625" style="4"/>
    <col min="9473" max="9473" width="5.140625" style="4" customWidth="1"/>
    <col min="9474" max="9474" width="28.28515625" style="4" customWidth="1"/>
    <col min="9475" max="9499" width="10" style="4" customWidth="1"/>
    <col min="9500" max="9728" width="9.140625" style="4"/>
    <col min="9729" max="9729" width="5.140625" style="4" customWidth="1"/>
    <col min="9730" max="9730" width="28.28515625" style="4" customWidth="1"/>
    <col min="9731" max="9755" width="10" style="4" customWidth="1"/>
    <col min="9756" max="9984" width="9.140625" style="4"/>
    <col min="9985" max="9985" width="5.140625" style="4" customWidth="1"/>
    <col min="9986" max="9986" width="28.28515625" style="4" customWidth="1"/>
    <col min="9987" max="10011" width="10" style="4" customWidth="1"/>
    <col min="10012" max="10240" width="9.140625" style="4"/>
    <col min="10241" max="10241" width="5.140625" style="4" customWidth="1"/>
    <col min="10242" max="10242" width="28.28515625" style="4" customWidth="1"/>
    <col min="10243" max="10267" width="10" style="4" customWidth="1"/>
    <col min="10268" max="10496" width="9.140625" style="4"/>
    <col min="10497" max="10497" width="5.140625" style="4" customWidth="1"/>
    <col min="10498" max="10498" width="28.28515625" style="4" customWidth="1"/>
    <col min="10499" max="10523" width="10" style="4" customWidth="1"/>
    <col min="10524" max="10752" width="9.140625" style="4"/>
    <col min="10753" max="10753" width="5.140625" style="4" customWidth="1"/>
    <col min="10754" max="10754" width="28.28515625" style="4" customWidth="1"/>
    <col min="10755" max="10779" width="10" style="4" customWidth="1"/>
    <col min="10780" max="11008" width="9.140625" style="4"/>
    <col min="11009" max="11009" width="5.140625" style="4" customWidth="1"/>
    <col min="11010" max="11010" width="28.28515625" style="4" customWidth="1"/>
    <col min="11011" max="11035" width="10" style="4" customWidth="1"/>
    <col min="11036" max="11264" width="9.140625" style="4"/>
    <col min="11265" max="11265" width="5.140625" style="4" customWidth="1"/>
    <col min="11266" max="11266" width="28.28515625" style="4" customWidth="1"/>
    <col min="11267" max="11291" width="10" style="4" customWidth="1"/>
    <col min="11292" max="11520" width="9.140625" style="4"/>
    <col min="11521" max="11521" width="5.140625" style="4" customWidth="1"/>
    <col min="11522" max="11522" width="28.28515625" style="4" customWidth="1"/>
    <col min="11523" max="11547" width="10" style="4" customWidth="1"/>
    <col min="11548" max="11776" width="9.140625" style="4"/>
    <col min="11777" max="11777" width="5.140625" style="4" customWidth="1"/>
    <col min="11778" max="11778" width="28.28515625" style="4" customWidth="1"/>
    <col min="11779" max="11803" width="10" style="4" customWidth="1"/>
    <col min="11804" max="12032" width="9.140625" style="4"/>
    <col min="12033" max="12033" width="5.140625" style="4" customWidth="1"/>
    <col min="12034" max="12034" width="28.28515625" style="4" customWidth="1"/>
    <col min="12035" max="12059" width="10" style="4" customWidth="1"/>
    <col min="12060" max="12288" width="9.140625" style="4"/>
    <col min="12289" max="12289" width="5.140625" style="4" customWidth="1"/>
    <col min="12290" max="12290" width="28.28515625" style="4" customWidth="1"/>
    <col min="12291" max="12315" width="10" style="4" customWidth="1"/>
    <col min="12316" max="12544" width="9.140625" style="4"/>
    <col min="12545" max="12545" width="5.140625" style="4" customWidth="1"/>
    <col min="12546" max="12546" width="28.28515625" style="4" customWidth="1"/>
    <col min="12547" max="12571" width="10" style="4" customWidth="1"/>
    <col min="12572" max="12800" width="9.140625" style="4"/>
    <col min="12801" max="12801" width="5.140625" style="4" customWidth="1"/>
    <col min="12802" max="12802" width="28.28515625" style="4" customWidth="1"/>
    <col min="12803" max="12827" width="10" style="4" customWidth="1"/>
    <col min="12828" max="13056" width="9.140625" style="4"/>
    <col min="13057" max="13057" width="5.140625" style="4" customWidth="1"/>
    <col min="13058" max="13058" width="28.28515625" style="4" customWidth="1"/>
    <col min="13059" max="13083" width="10" style="4" customWidth="1"/>
    <col min="13084" max="13312" width="9.140625" style="4"/>
    <col min="13313" max="13313" width="5.140625" style="4" customWidth="1"/>
    <col min="13314" max="13314" width="28.28515625" style="4" customWidth="1"/>
    <col min="13315" max="13339" width="10" style="4" customWidth="1"/>
    <col min="13340" max="13568" width="9.140625" style="4"/>
    <col min="13569" max="13569" width="5.140625" style="4" customWidth="1"/>
    <col min="13570" max="13570" width="28.28515625" style="4" customWidth="1"/>
    <col min="13571" max="13595" width="10" style="4" customWidth="1"/>
    <col min="13596" max="13824" width="9.140625" style="4"/>
    <col min="13825" max="13825" width="5.140625" style="4" customWidth="1"/>
    <col min="13826" max="13826" width="28.28515625" style="4" customWidth="1"/>
    <col min="13827" max="13851" width="10" style="4" customWidth="1"/>
    <col min="13852" max="14080" width="9.140625" style="4"/>
    <col min="14081" max="14081" width="5.140625" style="4" customWidth="1"/>
    <col min="14082" max="14082" width="28.28515625" style="4" customWidth="1"/>
    <col min="14083" max="14107" width="10" style="4" customWidth="1"/>
    <col min="14108" max="14336" width="9.140625" style="4"/>
    <col min="14337" max="14337" width="5.140625" style="4" customWidth="1"/>
    <col min="14338" max="14338" width="28.28515625" style="4" customWidth="1"/>
    <col min="14339" max="14363" width="10" style="4" customWidth="1"/>
    <col min="14364" max="14592" width="9.140625" style="4"/>
    <col min="14593" max="14593" width="5.140625" style="4" customWidth="1"/>
    <col min="14594" max="14594" width="28.28515625" style="4" customWidth="1"/>
    <col min="14595" max="14619" width="10" style="4" customWidth="1"/>
    <col min="14620" max="14848" width="9.140625" style="4"/>
    <col min="14849" max="14849" width="5.140625" style="4" customWidth="1"/>
    <col min="14850" max="14850" width="28.28515625" style="4" customWidth="1"/>
    <col min="14851" max="14875" width="10" style="4" customWidth="1"/>
    <col min="14876" max="15104" width="9.140625" style="4"/>
    <col min="15105" max="15105" width="5.140625" style="4" customWidth="1"/>
    <col min="15106" max="15106" width="28.28515625" style="4" customWidth="1"/>
    <col min="15107" max="15131" width="10" style="4" customWidth="1"/>
    <col min="15132" max="15360" width="9.140625" style="4"/>
    <col min="15361" max="15361" width="5.140625" style="4" customWidth="1"/>
    <col min="15362" max="15362" width="28.28515625" style="4" customWidth="1"/>
    <col min="15363" max="15387" width="10" style="4" customWidth="1"/>
    <col min="15388" max="15616" width="9.140625" style="4"/>
    <col min="15617" max="15617" width="5.140625" style="4" customWidth="1"/>
    <col min="15618" max="15618" width="28.28515625" style="4" customWidth="1"/>
    <col min="15619" max="15643" width="10" style="4" customWidth="1"/>
    <col min="15644" max="15872" width="9.140625" style="4"/>
    <col min="15873" max="15873" width="5.140625" style="4" customWidth="1"/>
    <col min="15874" max="15874" width="28.28515625" style="4" customWidth="1"/>
    <col min="15875" max="15899" width="10" style="4" customWidth="1"/>
    <col min="15900" max="16128" width="9.140625" style="4"/>
    <col min="16129" max="16129" width="5.140625" style="4" customWidth="1"/>
    <col min="16130" max="16130" width="28.28515625" style="4" customWidth="1"/>
    <col min="16131" max="16155" width="10" style="4" customWidth="1"/>
    <col min="16156" max="16384" width="9.140625" style="4"/>
  </cols>
  <sheetData>
    <row r="1" spans="1:32" s="1" customFormat="1" ht="32.25" hidden="1" customHeight="1">
      <c r="A1" s="29"/>
      <c r="B1" s="3"/>
      <c r="C1" s="3"/>
      <c r="D1" s="3"/>
      <c r="E1" s="3"/>
      <c r="F1" s="3"/>
      <c r="G1" s="3"/>
      <c r="H1" s="2"/>
      <c r="I1" s="2"/>
      <c r="J1" s="2"/>
      <c r="K1" s="2"/>
      <c r="L1" s="2"/>
      <c r="M1" s="2"/>
      <c r="N1" s="2"/>
      <c r="O1" s="3"/>
      <c r="P1" s="30"/>
      <c r="Q1" s="3"/>
      <c r="R1" s="30"/>
      <c r="S1" s="30"/>
      <c r="T1" s="30"/>
      <c r="U1" s="30"/>
      <c r="V1" s="30"/>
      <c r="W1" s="30"/>
      <c r="X1" s="30"/>
      <c r="Y1" s="30"/>
      <c r="Z1" s="30"/>
      <c r="AA1" s="12" t="s">
        <v>27</v>
      </c>
    </row>
    <row r="2" spans="1:32" s="1" customFormat="1" ht="25.5">
      <c r="A2" s="538" t="s">
        <v>1367</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row>
    <row r="3" spans="1:32" ht="62.45" customHeight="1">
      <c r="A3" s="490" t="s">
        <v>119</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row>
    <row r="4" spans="1:32" ht="21.95" customHeight="1">
      <c r="A4" s="491" t="str">
        <f>'B.I THDP'!A3:K3</f>
        <v>(Kèm theo Công văn số 1080/UBND-KTTH ngày   08  tháng  8  năm 2024 của Ủy ban nhân dân tỉnh An Giang)</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row>
    <row r="5" spans="1:32" s="5" customFormat="1" ht="19.5">
      <c r="A5" s="546" t="s">
        <v>1</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row>
    <row r="6" spans="1:32" s="7" customFormat="1" ht="52.5" customHeight="1">
      <c r="A6" s="521" t="s">
        <v>22</v>
      </c>
      <c r="B6" s="521" t="s">
        <v>10</v>
      </c>
      <c r="C6" s="529" t="s">
        <v>126</v>
      </c>
      <c r="D6" s="529" t="s">
        <v>127</v>
      </c>
      <c r="E6" s="529" t="s">
        <v>31</v>
      </c>
      <c r="F6" s="521" t="s">
        <v>128</v>
      </c>
      <c r="G6" s="521"/>
      <c r="H6" s="521"/>
      <c r="I6" s="521"/>
      <c r="J6" s="521"/>
      <c r="K6" s="532" t="s">
        <v>132</v>
      </c>
      <c r="L6" s="533"/>
      <c r="M6" s="533"/>
      <c r="N6" s="533"/>
      <c r="O6" s="533"/>
      <c r="P6" s="533"/>
      <c r="Q6" s="533"/>
      <c r="R6" s="533"/>
      <c r="S6" s="533"/>
      <c r="T6" s="533"/>
      <c r="U6" s="533"/>
      <c r="V6" s="534"/>
      <c r="W6" s="521" t="s">
        <v>136</v>
      </c>
      <c r="X6" s="521"/>
      <c r="Y6" s="521"/>
      <c r="Z6" s="521"/>
      <c r="AA6" s="521"/>
      <c r="AB6" s="521"/>
      <c r="AC6" s="521" t="s">
        <v>138</v>
      </c>
      <c r="AD6" s="521"/>
      <c r="AE6" s="521"/>
      <c r="AF6" s="521" t="s">
        <v>33</v>
      </c>
    </row>
    <row r="7" spans="1:32" s="7" customFormat="1" ht="61.5" customHeight="1">
      <c r="A7" s="521"/>
      <c r="B7" s="521"/>
      <c r="C7" s="530"/>
      <c r="D7" s="530"/>
      <c r="E7" s="530"/>
      <c r="F7" s="521"/>
      <c r="G7" s="521"/>
      <c r="H7" s="521"/>
      <c r="I7" s="521"/>
      <c r="J7" s="521"/>
      <c r="K7" s="535"/>
      <c r="L7" s="536"/>
      <c r="M7" s="536"/>
      <c r="N7" s="536"/>
      <c r="O7" s="536"/>
      <c r="P7" s="536"/>
      <c r="Q7" s="536"/>
      <c r="R7" s="536"/>
      <c r="S7" s="536"/>
      <c r="T7" s="536"/>
      <c r="U7" s="536"/>
      <c r="V7" s="537"/>
      <c r="W7" s="521" t="s">
        <v>198</v>
      </c>
      <c r="X7" s="521"/>
      <c r="Y7" s="521"/>
      <c r="Z7" s="521" t="s">
        <v>137</v>
      </c>
      <c r="AA7" s="521"/>
      <c r="AB7" s="521"/>
      <c r="AC7" s="521"/>
      <c r="AD7" s="521"/>
      <c r="AE7" s="521"/>
      <c r="AF7" s="521"/>
    </row>
    <row r="8" spans="1:32" s="7" customFormat="1" ht="122.25" customHeight="1">
      <c r="A8" s="521"/>
      <c r="B8" s="521"/>
      <c r="C8" s="530"/>
      <c r="D8" s="530"/>
      <c r="E8" s="530"/>
      <c r="F8" s="521" t="s">
        <v>129</v>
      </c>
      <c r="G8" s="521" t="s">
        <v>122</v>
      </c>
      <c r="H8" s="521"/>
      <c r="I8" s="521"/>
      <c r="J8" s="521"/>
      <c r="K8" s="521" t="s">
        <v>133</v>
      </c>
      <c r="L8" s="521"/>
      <c r="M8" s="521"/>
      <c r="N8" s="521" t="s">
        <v>160</v>
      </c>
      <c r="O8" s="521"/>
      <c r="P8" s="521"/>
      <c r="Q8" s="521" t="s">
        <v>134</v>
      </c>
      <c r="R8" s="521"/>
      <c r="S8" s="521"/>
      <c r="T8" s="521" t="s">
        <v>135</v>
      </c>
      <c r="U8" s="521"/>
      <c r="V8" s="521"/>
      <c r="W8" s="521" t="s">
        <v>139</v>
      </c>
      <c r="X8" s="521"/>
      <c r="Y8" s="521"/>
      <c r="Z8" s="521" t="s">
        <v>139</v>
      </c>
      <c r="AA8" s="521"/>
      <c r="AB8" s="521"/>
      <c r="AC8" s="521" t="s">
        <v>139</v>
      </c>
      <c r="AD8" s="521"/>
      <c r="AE8" s="521"/>
      <c r="AF8" s="521"/>
    </row>
    <row r="9" spans="1:32" s="7" customFormat="1" ht="21.95" customHeight="1">
      <c r="A9" s="521"/>
      <c r="B9" s="521"/>
      <c r="C9" s="530"/>
      <c r="D9" s="530"/>
      <c r="E9" s="530"/>
      <c r="F9" s="521"/>
      <c r="G9" s="521" t="s">
        <v>123</v>
      </c>
      <c r="H9" s="522" t="s">
        <v>130</v>
      </c>
      <c r="I9" s="523"/>
      <c r="J9" s="521" t="s">
        <v>131</v>
      </c>
      <c r="K9" s="521" t="s">
        <v>123</v>
      </c>
      <c r="L9" s="522" t="s">
        <v>130</v>
      </c>
      <c r="M9" s="523"/>
      <c r="N9" s="521" t="s">
        <v>123</v>
      </c>
      <c r="O9" s="522" t="s">
        <v>130</v>
      </c>
      <c r="P9" s="523"/>
      <c r="Q9" s="521" t="s">
        <v>123</v>
      </c>
      <c r="R9" s="522" t="s">
        <v>130</v>
      </c>
      <c r="S9" s="523"/>
      <c r="T9" s="521" t="s">
        <v>123</v>
      </c>
      <c r="U9" s="522" t="s">
        <v>130</v>
      </c>
      <c r="V9" s="523"/>
      <c r="W9" s="521" t="s">
        <v>140</v>
      </c>
      <c r="X9" s="521" t="s">
        <v>125</v>
      </c>
      <c r="Y9" s="521" t="s">
        <v>124</v>
      </c>
      <c r="Z9" s="521" t="s">
        <v>140</v>
      </c>
      <c r="AA9" s="521" t="s">
        <v>125</v>
      </c>
      <c r="AB9" s="521" t="s">
        <v>124</v>
      </c>
      <c r="AC9" s="521" t="s">
        <v>140</v>
      </c>
      <c r="AD9" s="521" t="s">
        <v>125</v>
      </c>
      <c r="AE9" s="521" t="s">
        <v>124</v>
      </c>
      <c r="AF9" s="521"/>
    </row>
    <row r="10" spans="1:32" s="7" customFormat="1" ht="26.1" customHeight="1">
      <c r="A10" s="521"/>
      <c r="B10" s="521"/>
      <c r="C10" s="530"/>
      <c r="D10" s="530"/>
      <c r="E10" s="530"/>
      <c r="F10" s="521"/>
      <c r="G10" s="521"/>
      <c r="H10" s="524"/>
      <c r="I10" s="525"/>
      <c r="J10" s="521"/>
      <c r="K10" s="521"/>
      <c r="L10" s="524"/>
      <c r="M10" s="525"/>
      <c r="N10" s="521"/>
      <c r="O10" s="524"/>
      <c r="P10" s="525"/>
      <c r="Q10" s="521"/>
      <c r="R10" s="524"/>
      <c r="S10" s="525"/>
      <c r="T10" s="521"/>
      <c r="U10" s="524"/>
      <c r="V10" s="525"/>
      <c r="W10" s="521"/>
      <c r="X10" s="521"/>
      <c r="Y10" s="521"/>
      <c r="Z10" s="521"/>
      <c r="AA10" s="521"/>
      <c r="AB10" s="521"/>
      <c r="AC10" s="521"/>
      <c r="AD10" s="521"/>
      <c r="AE10" s="521"/>
      <c r="AF10" s="521"/>
    </row>
    <row r="11" spans="1:32" s="7" customFormat="1" ht="39.6" customHeight="1">
      <c r="A11" s="521"/>
      <c r="B11" s="521"/>
      <c r="C11" s="531"/>
      <c r="D11" s="531"/>
      <c r="E11" s="531"/>
      <c r="F11" s="521"/>
      <c r="G11" s="521"/>
      <c r="H11" s="77" t="s">
        <v>125</v>
      </c>
      <c r="I11" s="77" t="s">
        <v>124</v>
      </c>
      <c r="J11" s="521"/>
      <c r="K11" s="521"/>
      <c r="L11" s="77" t="s">
        <v>125</v>
      </c>
      <c r="M11" s="77" t="s">
        <v>124</v>
      </c>
      <c r="N11" s="521"/>
      <c r="O11" s="77" t="s">
        <v>125</v>
      </c>
      <c r="P11" s="77" t="s">
        <v>124</v>
      </c>
      <c r="Q11" s="521"/>
      <c r="R11" s="77" t="s">
        <v>125</v>
      </c>
      <c r="S11" s="77" t="s">
        <v>124</v>
      </c>
      <c r="T11" s="521"/>
      <c r="U11" s="77" t="s">
        <v>125</v>
      </c>
      <c r="V11" s="77" t="s">
        <v>124</v>
      </c>
      <c r="W11" s="521"/>
      <c r="X11" s="521"/>
      <c r="Y11" s="521"/>
      <c r="Z11" s="521"/>
      <c r="AA11" s="521"/>
      <c r="AB11" s="521"/>
      <c r="AC11" s="521"/>
      <c r="AD11" s="521"/>
      <c r="AE11" s="521"/>
      <c r="AF11" s="521"/>
    </row>
    <row r="12" spans="1:32" s="9" customFormat="1" ht="30.75" customHeight="1">
      <c r="A12" s="17">
        <v>1</v>
      </c>
      <c r="B12" s="8">
        <v>2</v>
      </c>
      <c r="C12" s="17">
        <v>3</v>
      </c>
      <c r="D12" s="17">
        <v>4</v>
      </c>
      <c r="E12" s="8">
        <v>5</v>
      </c>
      <c r="F12" s="17">
        <v>6</v>
      </c>
      <c r="G12" s="17">
        <v>7</v>
      </c>
      <c r="H12" s="8">
        <v>8</v>
      </c>
      <c r="I12" s="17">
        <v>9</v>
      </c>
      <c r="J12" s="17">
        <v>10</v>
      </c>
      <c r="K12" s="8">
        <v>11</v>
      </c>
      <c r="L12" s="17">
        <v>12</v>
      </c>
      <c r="M12" s="17">
        <v>13</v>
      </c>
      <c r="N12" s="8">
        <v>14</v>
      </c>
      <c r="O12" s="17">
        <v>15</v>
      </c>
      <c r="P12" s="17">
        <v>16</v>
      </c>
      <c r="Q12" s="17">
        <v>15</v>
      </c>
      <c r="R12" s="17">
        <v>16</v>
      </c>
      <c r="S12" s="8">
        <v>17</v>
      </c>
      <c r="T12" s="17">
        <v>18</v>
      </c>
      <c r="U12" s="17">
        <v>19</v>
      </c>
      <c r="V12" s="8">
        <v>20</v>
      </c>
      <c r="W12" s="17">
        <v>21</v>
      </c>
      <c r="X12" s="17">
        <v>22</v>
      </c>
      <c r="Y12" s="8">
        <v>23</v>
      </c>
      <c r="Z12" s="17">
        <v>24</v>
      </c>
      <c r="AA12" s="17">
        <v>25</v>
      </c>
      <c r="AB12" s="6">
        <v>26</v>
      </c>
      <c r="AC12" s="6">
        <v>27</v>
      </c>
      <c r="AD12" s="6">
        <v>28</v>
      </c>
      <c r="AE12" s="6">
        <v>29</v>
      </c>
      <c r="AF12" s="6">
        <v>30</v>
      </c>
    </row>
    <row r="13" spans="1:32" s="9" customFormat="1">
      <c r="A13" s="39"/>
      <c r="B13" s="40" t="s">
        <v>4</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71"/>
      <c r="AC13" s="71"/>
      <c r="AD13" s="71"/>
      <c r="AE13" s="71"/>
      <c r="AF13" s="71"/>
    </row>
    <row r="14" spans="1:32" s="2" customFormat="1" ht="33">
      <c r="A14" s="50" t="s">
        <v>38</v>
      </c>
      <c r="B14" s="136" t="s">
        <v>116</v>
      </c>
      <c r="C14" s="52"/>
      <c r="D14" s="52"/>
      <c r="E14" s="52"/>
      <c r="F14" s="52"/>
      <c r="G14" s="130">
        <f>G15+G48</f>
        <v>397789</v>
      </c>
      <c r="H14" s="130">
        <f t="shared" ref="H14:AE14" si="0">H15+H48</f>
        <v>339286</v>
      </c>
      <c r="I14" s="130">
        <f t="shared" si="0"/>
        <v>43289</v>
      </c>
      <c r="J14" s="130">
        <f t="shared" si="0"/>
        <v>0</v>
      </c>
      <c r="K14" s="130">
        <f t="shared" si="0"/>
        <v>216848.1</v>
      </c>
      <c r="L14" s="130">
        <f t="shared" si="0"/>
        <v>197135.36363636365</v>
      </c>
      <c r="M14" s="130">
        <f t="shared" si="0"/>
        <v>19712.736363636366</v>
      </c>
      <c r="N14" s="130">
        <f t="shared" si="0"/>
        <v>187628.70600000001</v>
      </c>
      <c r="O14" s="130">
        <f t="shared" si="0"/>
        <v>174477.52418181818</v>
      </c>
      <c r="P14" s="130">
        <f t="shared" si="0"/>
        <v>13151.181818181818</v>
      </c>
      <c r="Q14" s="130">
        <f t="shared" si="0"/>
        <v>29218.959999999999</v>
      </c>
      <c r="R14" s="130">
        <f t="shared" si="0"/>
        <v>22656.86</v>
      </c>
      <c r="S14" s="130">
        <f t="shared" si="0"/>
        <v>6562.1</v>
      </c>
      <c r="T14" s="130">
        <f t="shared" si="0"/>
        <v>12226.4</v>
      </c>
      <c r="U14" s="130">
        <f t="shared" si="0"/>
        <v>11246</v>
      </c>
      <c r="V14" s="130">
        <f t="shared" si="0"/>
        <v>980</v>
      </c>
      <c r="W14" s="130">
        <f t="shared" si="0"/>
        <v>104849</v>
      </c>
      <c r="X14" s="130">
        <f t="shared" si="0"/>
        <v>95317</v>
      </c>
      <c r="Y14" s="130">
        <f t="shared" si="0"/>
        <v>9532</v>
      </c>
      <c r="Z14" s="130">
        <f t="shared" si="0"/>
        <v>46148.6</v>
      </c>
      <c r="AA14" s="130">
        <f t="shared" si="0"/>
        <v>44189.599999999999</v>
      </c>
      <c r="AB14" s="130">
        <f t="shared" si="0"/>
        <v>1959</v>
      </c>
      <c r="AC14" s="130">
        <f t="shared" si="0"/>
        <v>41896</v>
      </c>
      <c r="AD14" s="130">
        <f t="shared" si="0"/>
        <v>38086</v>
      </c>
      <c r="AE14" s="130">
        <f t="shared" si="0"/>
        <v>3810</v>
      </c>
      <c r="AF14" s="72"/>
    </row>
    <row r="15" spans="1:32" s="2" customFormat="1" ht="66" customHeight="1">
      <c r="A15" s="50" t="s">
        <v>13</v>
      </c>
      <c r="B15" s="51" t="s">
        <v>1176</v>
      </c>
      <c r="C15" s="52"/>
      <c r="D15" s="52"/>
      <c r="E15" s="52"/>
      <c r="F15" s="52"/>
      <c r="G15" s="130">
        <f>G16+G41</f>
        <v>299730</v>
      </c>
      <c r="H15" s="130">
        <f t="shared" ref="H15:AE15" si="1">H16+H41</f>
        <v>250142</v>
      </c>
      <c r="I15" s="130">
        <f t="shared" si="1"/>
        <v>34374</v>
      </c>
      <c r="J15" s="130">
        <f t="shared" si="1"/>
        <v>0</v>
      </c>
      <c r="K15" s="130">
        <f t="shared" si="1"/>
        <v>166895</v>
      </c>
      <c r="L15" s="130">
        <f t="shared" si="1"/>
        <v>151723.36363636365</v>
      </c>
      <c r="M15" s="130">
        <f t="shared" si="1"/>
        <v>15171.636363636364</v>
      </c>
      <c r="N15" s="130">
        <f t="shared" si="1"/>
        <v>151816.70600000001</v>
      </c>
      <c r="O15" s="130">
        <f t="shared" si="1"/>
        <v>140321.52418181818</v>
      </c>
      <c r="P15" s="130">
        <f t="shared" si="1"/>
        <v>11495.181818181818</v>
      </c>
      <c r="Q15" s="130">
        <f t="shared" si="1"/>
        <v>15077.66</v>
      </c>
      <c r="R15" s="130">
        <f t="shared" si="1"/>
        <v>11400.66</v>
      </c>
      <c r="S15" s="130">
        <f t="shared" si="1"/>
        <v>3677</v>
      </c>
      <c r="T15" s="130">
        <f t="shared" si="1"/>
        <v>9213</v>
      </c>
      <c r="U15" s="130">
        <f t="shared" si="1"/>
        <v>8302</v>
      </c>
      <c r="V15" s="130">
        <f t="shared" si="1"/>
        <v>911</v>
      </c>
      <c r="W15" s="130">
        <f t="shared" si="1"/>
        <v>61767</v>
      </c>
      <c r="X15" s="130">
        <f t="shared" si="1"/>
        <v>56152</v>
      </c>
      <c r="Y15" s="130">
        <f t="shared" si="1"/>
        <v>5615</v>
      </c>
      <c r="Z15" s="130">
        <f t="shared" si="1"/>
        <v>40644</v>
      </c>
      <c r="AA15" s="130">
        <f t="shared" si="1"/>
        <v>38685</v>
      </c>
      <c r="AB15" s="130">
        <f t="shared" si="1"/>
        <v>1959</v>
      </c>
      <c r="AC15" s="130">
        <f t="shared" si="1"/>
        <v>36872</v>
      </c>
      <c r="AD15" s="130">
        <f t="shared" si="1"/>
        <v>33519</v>
      </c>
      <c r="AE15" s="130">
        <f t="shared" si="1"/>
        <v>3353</v>
      </c>
      <c r="AF15" s="72"/>
    </row>
    <row r="16" spans="1:32" s="3" customFormat="1" ht="66.75" customHeight="1">
      <c r="A16" s="54" t="s">
        <v>146</v>
      </c>
      <c r="B16" s="137" t="s">
        <v>1177</v>
      </c>
      <c r="C16" s="56"/>
      <c r="D16" s="56"/>
      <c r="E16" s="56"/>
      <c r="F16" s="56"/>
      <c r="G16" s="138">
        <f>SUM(G17:G40)</f>
        <v>196562</v>
      </c>
      <c r="H16" s="138">
        <f t="shared" ref="H16:AE16" si="2">SUM(H17:H40)</f>
        <v>170184</v>
      </c>
      <c r="I16" s="138">
        <f t="shared" si="2"/>
        <v>26378</v>
      </c>
      <c r="J16" s="138">
        <f t="shared" si="2"/>
        <v>0</v>
      </c>
      <c r="K16" s="138">
        <f t="shared" si="2"/>
        <v>105327</v>
      </c>
      <c r="L16" s="138">
        <f t="shared" si="2"/>
        <v>95752.363636363632</v>
      </c>
      <c r="M16" s="138">
        <f t="shared" si="2"/>
        <v>9574.636363636364</v>
      </c>
      <c r="N16" s="138">
        <f t="shared" si="2"/>
        <v>103667</v>
      </c>
      <c r="O16" s="138">
        <f t="shared" si="2"/>
        <v>94879.818181818177</v>
      </c>
      <c r="P16" s="138">
        <f t="shared" si="2"/>
        <v>8787.181818181818</v>
      </c>
      <c r="Q16" s="138">
        <f t="shared" si="2"/>
        <v>1659.6599999999999</v>
      </c>
      <c r="R16" s="138">
        <f t="shared" si="2"/>
        <v>871.66</v>
      </c>
      <c r="S16" s="138">
        <f t="shared" si="2"/>
        <v>788</v>
      </c>
      <c r="T16" s="138">
        <f t="shared" si="2"/>
        <v>168</v>
      </c>
      <c r="U16" s="138">
        <f t="shared" si="2"/>
        <v>88</v>
      </c>
      <c r="V16" s="138">
        <f t="shared" si="2"/>
        <v>80</v>
      </c>
      <c r="W16" s="138">
        <f t="shared" si="2"/>
        <v>50767</v>
      </c>
      <c r="X16" s="138">
        <f t="shared" si="2"/>
        <v>46152</v>
      </c>
      <c r="Y16" s="138">
        <f t="shared" si="2"/>
        <v>4615</v>
      </c>
      <c r="Z16" s="138">
        <f t="shared" si="2"/>
        <v>34776</v>
      </c>
      <c r="AA16" s="138">
        <f t="shared" si="2"/>
        <v>33073</v>
      </c>
      <c r="AB16" s="138">
        <f t="shared" si="2"/>
        <v>1703</v>
      </c>
      <c r="AC16" s="138">
        <f t="shared" si="2"/>
        <v>21486</v>
      </c>
      <c r="AD16" s="138">
        <f t="shared" si="2"/>
        <v>19532</v>
      </c>
      <c r="AE16" s="138">
        <f t="shared" si="2"/>
        <v>1954</v>
      </c>
      <c r="AF16" s="73"/>
    </row>
    <row r="17" spans="1:32" ht="75">
      <c r="A17" s="58"/>
      <c r="B17" s="47" t="s">
        <v>833</v>
      </c>
      <c r="C17" s="59" t="s">
        <v>834</v>
      </c>
      <c r="D17" s="59">
        <v>2078.84</v>
      </c>
      <c r="E17" s="59" t="s">
        <v>230</v>
      </c>
      <c r="F17" s="59" t="s">
        <v>1178</v>
      </c>
      <c r="G17" s="131">
        <v>14092</v>
      </c>
      <c r="H17" s="131">
        <v>12201</v>
      </c>
      <c r="I17" s="131">
        <v>1891</v>
      </c>
      <c r="J17" s="131"/>
      <c r="K17" s="131">
        <v>6947</v>
      </c>
      <c r="L17" s="131">
        <v>6316</v>
      </c>
      <c r="M17" s="131">
        <v>631</v>
      </c>
      <c r="N17" s="131">
        <v>6947</v>
      </c>
      <c r="O17" s="131">
        <v>6316</v>
      </c>
      <c r="P17" s="131">
        <v>631</v>
      </c>
      <c r="Q17" s="131">
        <v>0</v>
      </c>
      <c r="R17" s="131"/>
      <c r="S17" s="131"/>
      <c r="T17" s="131">
        <v>0</v>
      </c>
      <c r="U17" s="131"/>
      <c r="V17" s="131"/>
      <c r="W17" s="131">
        <v>6473</v>
      </c>
      <c r="X17" s="131">
        <v>5885</v>
      </c>
      <c r="Y17" s="131">
        <v>588</v>
      </c>
      <c r="Z17" s="131">
        <v>6473</v>
      </c>
      <c r="AA17" s="131">
        <v>5885</v>
      </c>
      <c r="AB17" s="132">
        <v>588</v>
      </c>
      <c r="AC17" s="132">
        <v>0</v>
      </c>
      <c r="AD17" s="132"/>
      <c r="AE17" s="132"/>
      <c r="AF17" s="66"/>
    </row>
    <row r="18" spans="1:32" ht="75">
      <c r="A18" s="58"/>
      <c r="B18" s="49" t="s">
        <v>836</v>
      </c>
      <c r="C18" s="59" t="s">
        <v>837</v>
      </c>
      <c r="D18" s="59">
        <v>4400</v>
      </c>
      <c r="E18" s="59" t="s">
        <v>230</v>
      </c>
      <c r="F18" s="59" t="s">
        <v>838</v>
      </c>
      <c r="G18" s="131">
        <v>25189</v>
      </c>
      <c r="H18" s="131">
        <v>21809</v>
      </c>
      <c r="I18" s="131">
        <v>3380</v>
      </c>
      <c r="J18" s="131"/>
      <c r="K18" s="131">
        <v>12900</v>
      </c>
      <c r="L18" s="131">
        <v>11727</v>
      </c>
      <c r="M18" s="131">
        <v>1173</v>
      </c>
      <c r="N18" s="131">
        <v>12900</v>
      </c>
      <c r="O18" s="131">
        <v>11727</v>
      </c>
      <c r="P18" s="131">
        <v>1173</v>
      </c>
      <c r="Q18" s="131">
        <v>0</v>
      </c>
      <c r="R18" s="131"/>
      <c r="S18" s="131"/>
      <c r="T18" s="131">
        <v>0</v>
      </c>
      <c r="U18" s="131"/>
      <c r="V18" s="131"/>
      <c r="W18" s="131">
        <v>6373</v>
      </c>
      <c r="X18" s="131">
        <v>5794</v>
      </c>
      <c r="Y18" s="131">
        <v>579</v>
      </c>
      <c r="Z18" s="131">
        <v>1858</v>
      </c>
      <c r="AA18" s="131">
        <v>1858</v>
      </c>
      <c r="AB18" s="132">
        <v>0</v>
      </c>
      <c r="AC18" s="132"/>
      <c r="AD18" s="132"/>
      <c r="AE18" s="132"/>
      <c r="AF18" s="66"/>
    </row>
    <row r="19" spans="1:32" ht="75">
      <c r="A19" s="58"/>
      <c r="B19" s="49" t="s">
        <v>839</v>
      </c>
      <c r="C19" s="59" t="s">
        <v>840</v>
      </c>
      <c r="D19" s="59">
        <v>787.3</v>
      </c>
      <c r="E19" s="59" t="s">
        <v>312</v>
      </c>
      <c r="F19" s="59" t="s">
        <v>841</v>
      </c>
      <c r="G19" s="131">
        <v>4134</v>
      </c>
      <c r="H19" s="131">
        <v>3579</v>
      </c>
      <c r="I19" s="131">
        <v>555</v>
      </c>
      <c r="J19" s="131"/>
      <c r="K19" s="131">
        <v>0</v>
      </c>
      <c r="L19" s="131"/>
      <c r="M19" s="131"/>
      <c r="N19" s="131"/>
      <c r="O19" s="131"/>
      <c r="P19" s="131"/>
      <c r="Q19" s="131">
        <v>0</v>
      </c>
      <c r="R19" s="131"/>
      <c r="S19" s="131"/>
      <c r="T19" s="131">
        <v>0</v>
      </c>
      <c r="U19" s="131"/>
      <c r="V19" s="131"/>
      <c r="W19" s="131">
        <v>3937</v>
      </c>
      <c r="X19" s="131">
        <v>3579</v>
      </c>
      <c r="Y19" s="131">
        <v>358</v>
      </c>
      <c r="Z19" s="131">
        <v>2803</v>
      </c>
      <c r="AA19" s="131">
        <v>2551</v>
      </c>
      <c r="AB19" s="132">
        <v>252</v>
      </c>
      <c r="AC19" s="132">
        <v>0</v>
      </c>
      <c r="AD19" s="132"/>
      <c r="AE19" s="132"/>
      <c r="AF19" s="66"/>
    </row>
    <row r="20" spans="1:32" ht="56.25">
      <c r="A20" s="58"/>
      <c r="B20" s="49" t="s">
        <v>842</v>
      </c>
      <c r="C20" s="59" t="s">
        <v>843</v>
      </c>
      <c r="D20" s="59">
        <v>960</v>
      </c>
      <c r="E20" s="59" t="s">
        <v>312</v>
      </c>
      <c r="F20" s="59" t="s">
        <v>844</v>
      </c>
      <c r="G20" s="131">
        <v>2565</v>
      </c>
      <c r="H20" s="131">
        <v>2221</v>
      </c>
      <c r="I20" s="131">
        <v>344</v>
      </c>
      <c r="J20" s="131"/>
      <c r="K20" s="131">
        <v>0</v>
      </c>
      <c r="L20" s="131"/>
      <c r="M20" s="131"/>
      <c r="N20" s="131"/>
      <c r="O20" s="131"/>
      <c r="P20" s="131"/>
      <c r="Q20" s="131">
        <v>0</v>
      </c>
      <c r="R20" s="131"/>
      <c r="S20" s="131"/>
      <c r="T20" s="131">
        <v>0</v>
      </c>
      <c r="U20" s="131"/>
      <c r="V20" s="131"/>
      <c r="W20" s="131">
        <v>2443</v>
      </c>
      <c r="X20" s="131">
        <v>2221</v>
      </c>
      <c r="Y20" s="131">
        <v>222</v>
      </c>
      <c r="Z20" s="131">
        <v>777</v>
      </c>
      <c r="AA20" s="131">
        <v>777</v>
      </c>
      <c r="AB20" s="132">
        <v>0</v>
      </c>
      <c r="AC20" s="132">
        <v>0</v>
      </c>
      <c r="AD20" s="132"/>
      <c r="AE20" s="132"/>
      <c r="AF20" s="66"/>
    </row>
    <row r="21" spans="1:32" ht="75">
      <c r="A21" s="58"/>
      <c r="B21" s="49" t="s">
        <v>845</v>
      </c>
      <c r="C21" s="59" t="s">
        <v>846</v>
      </c>
      <c r="D21" s="59">
        <v>3600</v>
      </c>
      <c r="E21" s="59" t="s">
        <v>230</v>
      </c>
      <c r="F21" s="59" t="s">
        <v>847</v>
      </c>
      <c r="G21" s="131">
        <v>10547</v>
      </c>
      <c r="H21" s="131">
        <v>9132</v>
      </c>
      <c r="I21" s="131">
        <v>1415</v>
      </c>
      <c r="J21" s="131"/>
      <c r="K21" s="131">
        <v>2686</v>
      </c>
      <c r="L21" s="131">
        <v>2442</v>
      </c>
      <c r="M21" s="131">
        <v>244</v>
      </c>
      <c r="N21" s="131">
        <v>2685.9999999999995</v>
      </c>
      <c r="O21" s="131">
        <v>2441.8181818181815</v>
      </c>
      <c r="P21" s="131">
        <v>244.18181818181816</v>
      </c>
      <c r="Q21" s="131">
        <v>0</v>
      </c>
      <c r="R21" s="131"/>
      <c r="S21" s="131"/>
      <c r="T21" s="131">
        <v>0</v>
      </c>
      <c r="U21" s="131"/>
      <c r="V21" s="131"/>
      <c r="W21" s="131">
        <v>7359</v>
      </c>
      <c r="X21" s="131">
        <v>6690</v>
      </c>
      <c r="Y21" s="131">
        <v>669</v>
      </c>
      <c r="Z21" s="131">
        <v>7047</v>
      </c>
      <c r="AA21" s="131">
        <v>6690</v>
      </c>
      <c r="AB21" s="132">
        <v>357</v>
      </c>
      <c r="AC21" s="132">
        <v>0</v>
      </c>
      <c r="AD21" s="132"/>
      <c r="AE21" s="132"/>
      <c r="AF21" s="66"/>
    </row>
    <row r="22" spans="1:32" ht="75">
      <c r="A22" s="58"/>
      <c r="B22" s="49" t="s">
        <v>848</v>
      </c>
      <c r="C22" s="59" t="s">
        <v>849</v>
      </c>
      <c r="D22" s="59">
        <v>4970</v>
      </c>
      <c r="E22" s="59" t="s">
        <v>230</v>
      </c>
      <c r="F22" s="59" t="s">
        <v>850</v>
      </c>
      <c r="G22" s="131">
        <v>25165</v>
      </c>
      <c r="H22" s="131">
        <v>21788</v>
      </c>
      <c r="I22" s="131">
        <v>3377</v>
      </c>
      <c r="J22" s="131"/>
      <c r="K22" s="131">
        <v>11940</v>
      </c>
      <c r="L22" s="131">
        <v>10855</v>
      </c>
      <c r="M22" s="131">
        <v>1085</v>
      </c>
      <c r="N22" s="131">
        <v>11940</v>
      </c>
      <c r="O22" s="131">
        <v>10855</v>
      </c>
      <c r="P22" s="131">
        <v>1085</v>
      </c>
      <c r="Q22" s="131">
        <v>0</v>
      </c>
      <c r="R22" s="131"/>
      <c r="S22" s="131"/>
      <c r="T22" s="131">
        <v>0</v>
      </c>
      <c r="U22" s="131"/>
      <c r="V22" s="131"/>
      <c r="W22" s="131">
        <v>6824</v>
      </c>
      <c r="X22" s="131">
        <v>6204</v>
      </c>
      <c r="Y22" s="131">
        <v>620</v>
      </c>
      <c r="Z22" s="131">
        <v>2881</v>
      </c>
      <c r="AA22" s="131">
        <v>2881</v>
      </c>
      <c r="AB22" s="132">
        <v>0</v>
      </c>
      <c r="AC22" s="132"/>
      <c r="AD22" s="132"/>
      <c r="AE22" s="132"/>
      <c r="AF22" s="66"/>
    </row>
    <row r="23" spans="1:32" ht="56.25">
      <c r="A23" s="58"/>
      <c r="B23" s="49" t="s">
        <v>851</v>
      </c>
      <c r="C23" s="59" t="s">
        <v>852</v>
      </c>
      <c r="D23" s="59">
        <v>2252.5</v>
      </c>
      <c r="E23" s="59" t="s">
        <v>230</v>
      </c>
      <c r="F23" s="59" t="s">
        <v>853</v>
      </c>
      <c r="G23" s="131">
        <v>12207</v>
      </c>
      <c r="H23" s="131">
        <v>10569</v>
      </c>
      <c r="I23" s="131">
        <v>1638</v>
      </c>
      <c r="J23" s="131"/>
      <c r="K23" s="131">
        <v>7414</v>
      </c>
      <c r="L23" s="131">
        <v>6740</v>
      </c>
      <c r="M23" s="131">
        <v>674</v>
      </c>
      <c r="N23" s="131">
        <v>7414</v>
      </c>
      <c r="O23" s="131">
        <v>6740</v>
      </c>
      <c r="P23" s="131">
        <v>674</v>
      </c>
      <c r="Q23" s="131">
        <v>0</v>
      </c>
      <c r="R23" s="131"/>
      <c r="S23" s="131"/>
      <c r="T23" s="131">
        <v>0</v>
      </c>
      <c r="U23" s="131"/>
      <c r="V23" s="131"/>
      <c r="W23" s="131">
        <v>4212</v>
      </c>
      <c r="X23" s="131">
        <v>3829</v>
      </c>
      <c r="Y23" s="131">
        <v>383</v>
      </c>
      <c r="Z23" s="131">
        <v>4139</v>
      </c>
      <c r="AA23" s="131">
        <v>3829</v>
      </c>
      <c r="AB23" s="132">
        <v>310</v>
      </c>
      <c r="AC23" s="132">
        <v>0</v>
      </c>
      <c r="AD23" s="132"/>
      <c r="AE23" s="132"/>
      <c r="AF23" s="66"/>
    </row>
    <row r="24" spans="1:32" ht="56.25">
      <c r="A24" s="58"/>
      <c r="B24" s="49" t="s">
        <v>854</v>
      </c>
      <c r="C24" s="59" t="s">
        <v>855</v>
      </c>
      <c r="D24" s="59">
        <v>2134.5</v>
      </c>
      <c r="E24" s="59" t="s">
        <v>312</v>
      </c>
      <c r="F24" s="59" t="s">
        <v>856</v>
      </c>
      <c r="G24" s="131">
        <v>3638</v>
      </c>
      <c r="H24" s="131">
        <v>3150</v>
      </c>
      <c r="I24" s="131">
        <v>488</v>
      </c>
      <c r="J24" s="131"/>
      <c r="K24" s="131">
        <v>0</v>
      </c>
      <c r="L24" s="131"/>
      <c r="M24" s="131"/>
      <c r="N24" s="131"/>
      <c r="O24" s="131"/>
      <c r="P24" s="131"/>
      <c r="Q24" s="131">
        <v>0</v>
      </c>
      <c r="R24" s="131"/>
      <c r="S24" s="131"/>
      <c r="T24" s="131">
        <v>0</v>
      </c>
      <c r="U24" s="131"/>
      <c r="V24" s="131"/>
      <c r="W24" s="131">
        <v>150</v>
      </c>
      <c r="X24" s="131">
        <v>136</v>
      </c>
      <c r="Y24" s="131">
        <v>14</v>
      </c>
      <c r="Z24" s="131">
        <v>150</v>
      </c>
      <c r="AA24" s="131">
        <v>136</v>
      </c>
      <c r="AB24" s="132">
        <v>14</v>
      </c>
      <c r="AC24" s="132">
        <v>3315</v>
      </c>
      <c r="AD24" s="132">
        <v>3014</v>
      </c>
      <c r="AE24" s="132">
        <v>301</v>
      </c>
      <c r="AF24" s="66"/>
    </row>
    <row r="25" spans="1:32" ht="56.25">
      <c r="A25" s="58"/>
      <c r="B25" s="49" t="s">
        <v>857</v>
      </c>
      <c r="C25" s="59" t="s">
        <v>858</v>
      </c>
      <c r="D25" s="59">
        <v>1540.5</v>
      </c>
      <c r="E25" s="59" t="s">
        <v>312</v>
      </c>
      <c r="F25" s="59" t="s">
        <v>859</v>
      </c>
      <c r="G25" s="131">
        <v>3526</v>
      </c>
      <c r="H25" s="131">
        <v>3053</v>
      </c>
      <c r="I25" s="131">
        <v>473</v>
      </c>
      <c r="J25" s="131"/>
      <c r="K25" s="131">
        <v>0</v>
      </c>
      <c r="L25" s="131"/>
      <c r="M25" s="131"/>
      <c r="N25" s="131"/>
      <c r="O25" s="131"/>
      <c r="P25" s="131"/>
      <c r="Q25" s="131">
        <v>0</v>
      </c>
      <c r="R25" s="131"/>
      <c r="S25" s="131"/>
      <c r="T25" s="131">
        <v>0</v>
      </c>
      <c r="U25" s="131"/>
      <c r="V25" s="131"/>
      <c r="W25" s="131">
        <v>3358</v>
      </c>
      <c r="X25" s="131">
        <v>3053</v>
      </c>
      <c r="Y25" s="131">
        <v>305</v>
      </c>
      <c r="Z25" s="131">
        <v>2337</v>
      </c>
      <c r="AA25" s="131">
        <v>2201</v>
      </c>
      <c r="AB25" s="132">
        <v>136</v>
      </c>
      <c r="AC25" s="132">
        <v>0</v>
      </c>
      <c r="AD25" s="132"/>
      <c r="AE25" s="132"/>
      <c r="AF25" s="66"/>
    </row>
    <row r="26" spans="1:32" ht="56.25">
      <c r="A26" s="58"/>
      <c r="B26" s="49" t="s">
        <v>860</v>
      </c>
      <c r="C26" s="59" t="s">
        <v>861</v>
      </c>
      <c r="D26" s="59">
        <v>2436</v>
      </c>
      <c r="E26" s="59" t="s">
        <v>230</v>
      </c>
      <c r="F26" s="59" t="s">
        <v>862</v>
      </c>
      <c r="G26" s="131">
        <v>12136</v>
      </c>
      <c r="H26" s="131">
        <v>10507</v>
      </c>
      <c r="I26" s="131">
        <v>1629</v>
      </c>
      <c r="J26" s="131"/>
      <c r="K26" s="131">
        <v>7467</v>
      </c>
      <c r="L26" s="131">
        <v>6788</v>
      </c>
      <c r="M26" s="131">
        <v>679</v>
      </c>
      <c r="N26" s="131">
        <v>7467</v>
      </c>
      <c r="O26" s="131">
        <v>6788</v>
      </c>
      <c r="P26" s="131">
        <v>679</v>
      </c>
      <c r="Q26" s="131">
        <v>0</v>
      </c>
      <c r="R26" s="131"/>
      <c r="S26" s="131"/>
      <c r="T26" s="131">
        <v>0</v>
      </c>
      <c r="U26" s="131"/>
      <c r="V26" s="131"/>
      <c r="W26" s="131">
        <v>4091</v>
      </c>
      <c r="X26" s="131">
        <v>3719</v>
      </c>
      <c r="Y26" s="131">
        <v>372</v>
      </c>
      <c r="Z26" s="131">
        <v>3443</v>
      </c>
      <c r="AA26" s="131">
        <v>3443</v>
      </c>
      <c r="AB26" s="132">
        <v>0</v>
      </c>
      <c r="AC26" s="132">
        <v>0</v>
      </c>
      <c r="AD26" s="132"/>
      <c r="AE26" s="132"/>
      <c r="AF26" s="66"/>
    </row>
    <row r="27" spans="1:32" ht="56.25">
      <c r="A27" s="58"/>
      <c r="B27" s="49" t="s">
        <v>863</v>
      </c>
      <c r="C27" s="59" t="s">
        <v>864</v>
      </c>
      <c r="D27" s="59">
        <v>4575.92</v>
      </c>
      <c r="E27" s="59" t="s">
        <v>230</v>
      </c>
      <c r="F27" s="59" t="s">
        <v>865</v>
      </c>
      <c r="G27" s="131">
        <v>8600</v>
      </c>
      <c r="H27" s="131">
        <v>7445</v>
      </c>
      <c r="I27" s="131">
        <v>1155</v>
      </c>
      <c r="J27" s="131"/>
      <c r="K27" s="131">
        <v>8066</v>
      </c>
      <c r="L27" s="131">
        <v>7333</v>
      </c>
      <c r="M27" s="131">
        <v>733</v>
      </c>
      <c r="N27" s="131">
        <v>8066</v>
      </c>
      <c r="O27" s="131">
        <v>7333</v>
      </c>
      <c r="P27" s="131">
        <v>733</v>
      </c>
      <c r="Q27" s="131">
        <v>0</v>
      </c>
      <c r="R27" s="131"/>
      <c r="S27" s="131"/>
      <c r="T27" s="131">
        <v>0</v>
      </c>
      <c r="U27" s="131"/>
      <c r="V27" s="131"/>
      <c r="W27" s="131">
        <v>124</v>
      </c>
      <c r="X27" s="131">
        <v>112</v>
      </c>
      <c r="Y27" s="131">
        <v>12</v>
      </c>
      <c r="Z27" s="131">
        <v>117</v>
      </c>
      <c r="AA27" s="131">
        <v>106</v>
      </c>
      <c r="AB27" s="132">
        <v>11</v>
      </c>
      <c r="AC27" s="132">
        <v>0</v>
      </c>
      <c r="AD27" s="132"/>
      <c r="AE27" s="132"/>
      <c r="AF27" s="66"/>
    </row>
    <row r="28" spans="1:32" ht="75">
      <c r="A28" s="58"/>
      <c r="B28" s="49" t="s">
        <v>866</v>
      </c>
      <c r="C28" s="59" t="s">
        <v>867</v>
      </c>
      <c r="D28" s="59">
        <v>5472</v>
      </c>
      <c r="E28" s="59" t="s">
        <v>230</v>
      </c>
      <c r="F28" s="59" t="s">
        <v>868</v>
      </c>
      <c r="G28" s="131">
        <v>10965</v>
      </c>
      <c r="H28" s="131">
        <v>9494</v>
      </c>
      <c r="I28" s="131">
        <v>1471</v>
      </c>
      <c r="J28" s="131"/>
      <c r="K28" s="131">
        <v>5451</v>
      </c>
      <c r="L28" s="131">
        <v>4955</v>
      </c>
      <c r="M28" s="131">
        <v>495.99999999999994</v>
      </c>
      <c r="N28" s="131">
        <v>5451</v>
      </c>
      <c r="O28" s="131">
        <v>4955</v>
      </c>
      <c r="P28" s="131">
        <v>496</v>
      </c>
      <c r="Q28" s="131">
        <v>0</v>
      </c>
      <c r="R28" s="131"/>
      <c r="S28" s="131"/>
      <c r="T28" s="131">
        <v>0</v>
      </c>
      <c r="U28" s="131"/>
      <c r="V28" s="131"/>
      <c r="W28" s="131">
        <v>4992</v>
      </c>
      <c r="X28" s="131">
        <v>4538</v>
      </c>
      <c r="Y28" s="131">
        <v>454</v>
      </c>
      <c r="Z28" s="131">
        <v>2360</v>
      </c>
      <c r="AA28" s="131">
        <v>2360</v>
      </c>
      <c r="AB28" s="132">
        <v>0</v>
      </c>
      <c r="AC28" s="132">
        <v>0</v>
      </c>
      <c r="AD28" s="132"/>
      <c r="AE28" s="132"/>
      <c r="AF28" s="66"/>
    </row>
    <row r="29" spans="1:32" ht="56.25">
      <c r="A29" s="58"/>
      <c r="B29" s="49" t="s">
        <v>869</v>
      </c>
      <c r="C29" s="59" t="s">
        <v>870</v>
      </c>
      <c r="D29" s="59">
        <v>1424</v>
      </c>
      <c r="E29" s="59" t="s">
        <v>312</v>
      </c>
      <c r="F29" s="59" t="s">
        <v>871</v>
      </c>
      <c r="G29" s="131">
        <v>5505</v>
      </c>
      <c r="H29" s="131">
        <v>4766</v>
      </c>
      <c r="I29" s="131">
        <v>739</v>
      </c>
      <c r="J29" s="131"/>
      <c r="K29" s="131">
        <v>0</v>
      </c>
      <c r="L29" s="131"/>
      <c r="M29" s="131"/>
      <c r="N29" s="131"/>
      <c r="O29" s="131"/>
      <c r="P29" s="131"/>
      <c r="Q29" s="131">
        <v>0</v>
      </c>
      <c r="R29" s="131"/>
      <c r="S29" s="131"/>
      <c r="T29" s="131">
        <v>0</v>
      </c>
      <c r="U29" s="131"/>
      <c r="V29" s="131"/>
      <c r="W29" s="131">
        <v>200</v>
      </c>
      <c r="X29" s="131">
        <v>182</v>
      </c>
      <c r="Y29" s="131">
        <v>18</v>
      </c>
      <c r="Z29" s="131">
        <v>200</v>
      </c>
      <c r="AA29" s="131">
        <v>182</v>
      </c>
      <c r="AB29" s="132">
        <v>18</v>
      </c>
      <c r="AC29" s="132">
        <v>5043</v>
      </c>
      <c r="AD29" s="132">
        <v>4584</v>
      </c>
      <c r="AE29" s="132">
        <v>459</v>
      </c>
      <c r="AF29" s="66"/>
    </row>
    <row r="30" spans="1:32" ht="93.75">
      <c r="A30" s="58"/>
      <c r="B30" s="49" t="s">
        <v>872</v>
      </c>
      <c r="C30" s="59" t="s">
        <v>873</v>
      </c>
      <c r="D30" s="59">
        <v>1786.8</v>
      </c>
      <c r="E30" s="59" t="s">
        <v>230</v>
      </c>
      <c r="F30" s="59" t="s">
        <v>874</v>
      </c>
      <c r="G30" s="131">
        <v>9881</v>
      </c>
      <c r="H30" s="131">
        <v>8555</v>
      </c>
      <c r="I30" s="131">
        <v>1326</v>
      </c>
      <c r="J30" s="131"/>
      <c r="K30" s="131">
        <v>9369</v>
      </c>
      <c r="L30" s="131">
        <v>8517</v>
      </c>
      <c r="M30" s="131">
        <v>852</v>
      </c>
      <c r="N30" s="131">
        <v>9363</v>
      </c>
      <c r="O30" s="131">
        <v>8517</v>
      </c>
      <c r="P30" s="131">
        <v>846</v>
      </c>
      <c r="Q30" s="131">
        <v>6</v>
      </c>
      <c r="R30" s="131"/>
      <c r="S30" s="131">
        <v>6</v>
      </c>
      <c r="T30" s="131">
        <v>0</v>
      </c>
      <c r="U30" s="131"/>
      <c r="V30" s="131"/>
      <c r="W30" s="131">
        <v>40</v>
      </c>
      <c r="X30" s="131">
        <v>36</v>
      </c>
      <c r="Y30" s="131">
        <v>4</v>
      </c>
      <c r="Z30" s="131">
        <v>0</v>
      </c>
      <c r="AA30" s="131">
        <v>0</v>
      </c>
      <c r="AB30" s="132">
        <v>0</v>
      </c>
      <c r="AC30" s="132">
        <v>0</v>
      </c>
      <c r="AD30" s="132"/>
      <c r="AE30" s="132"/>
      <c r="AF30" s="66"/>
    </row>
    <row r="31" spans="1:32" ht="93.75">
      <c r="A31" s="58"/>
      <c r="B31" s="49" t="s">
        <v>875</v>
      </c>
      <c r="C31" s="59" t="s">
        <v>876</v>
      </c>
      <c r="D31" s="59">
        <v>1620</v>
      </c>
      <c r="E31" s="59" t="s">
        <v>312</v>
      </c>
      <c r="F31" s="59" t="s">
        <v>877</v>
      </c>
      <c r="G31" s="131">
        <v>5983</v>
      </c>
      <c r="H31" s="131">
        <v>5180</v>
      </c>
      <c r="I31" s="131">
        <v>803</v>
      </c>
      <c r="J31" s="131"/>
      <c r="K31" s="131">
        <v>0</v>
      </c>
      <c r="L31" s="131"/>
      <c r="M31" s="131"/>
      <c r="N31" s="131"/>
      <c r="O31" s="131"/>
      <c r="P31" s="131"/>
      <c r="Q31" s="131">
        <v>0</v>
      </c>
      <c r="R31" s="131"/>
      <c r="S31" s="131"/>
      <c r="T31" s="131">
        <v>0</v>
      </c>
      <c r="U31" s="131"/>
      <c r="V31" s="131"/>
      <c r="W31" s="131">
        <v>191</v>
      </c>
      <c r="X31" s="131">
        <v>174</v>
      </c>
      <c r="Y31" s="131">
        <v>17</v>
      </c>
      <c r="Z31" s="131">
        <v>191</v>
      </c>
      <c r="AA31" s="131">
        <v>174</v>
      </c>
      <c r="AB31" s="132">
        <v>17</v>
      </c>
      <c r="AC31" s="132">
        <v>5507</v>
      </c>
      <c r="AD31" s="132">
        <v>5006</v>
      </c>
      <c r="AE31" s="132">
        <v>501</v>
      </c>
      <c r="AF31" s="66"/>
    </row>
    <row r="32" spans="1:32" ht="75">
      <c r="A32" s="58"/>
      <c r="B32" s="49" t="s">
        <v>878</v>
      </c>
      <c r="C32" s="59" t="s">
        <v>879</v>
      </c>
      <c r="D32" s="59">
        <v>2371.5</v>
      </c>
      <c r="E32" s="59" t="s">
        <v>230</v>
      </c>
      <c r="F32" s="59" t="s">
        <v>880</v>
      </c>
      <c r="G32" s="131">
        <v>8854</v>
      </c>
      <c r="H32" s="131">
        <v>7666</v>
      </c>
      <c r="I32" s="131">
        <v>1188</v>
      </c>
      <c r="J32" s="131"/>
      <c r="K32" s="131">
        <v>8360</v>
      </c>
      <c r="L32" s="131">
        <v>7600</v>
      </c>
      <c r="M32" s="131">
        <v>760</v>
      </c>
      <c r="N32" s="131">
        <v>8222</v>
      </c>
      <c r="O32" s="131">
        <v>7570</v>
      </c>
      <c r="P32" s="131">
        <v>652</v>
      </c>
      <c r="Q32" s="131">
        <v>138</v>
      </c>
      <c r="R32" s="131">
        <v>30</v>
      </c>
      <c r="S32" s="131">
        <v>108</v>
      </c>
      <c r="T32" s="131">
        <v>0</v>
      </c>
      <c r="U32" s="131"/>
      <c r="V32" s="131"/>
      <c r="W32" s="131">
        <v>0</v>
      </c>
      <c r="X32" s="131"/>
      <c r="Y32" s="131"/>
      <c r="Z32" s="131"/>
      <c r="AA32" s="131"/>
      <c r="AB32" s="132"/>
      <c r="AC32" s="132"/>
      <c r="AD32" s="132"/>
      <c r="AE32" s="132"/>
      <c r="AF32" s="66"/>
    </row>
    <row r="33" spans="1:32" ht="56.25">
      <c r="A33" s="58"/>
      <c r="B33" s="49" t="s">
        <v>881</v>
      </c>
      <c r="C33" s="59" t="s">
        <v>882</v>
      </c>
      <c r="D33" s="59">
        <v>1927</v>
      </c>
      <c r="E33" s="59" t="s">
        <v>230</v>
      </c>
      <c r="F33" s="59" t="s">
        <v>883</v>
      </c>
      <c r="G33" s="131">
        <v>4176</v>
      </c>
      <c r="H33" s="131">
        <v>3616</v>
      </c>
      <c r="I33" s="131">
        <v>560</v>
      </c>
      <c r="J33" s="131"/>
      <c r="K33" s="131">
        <v>3744.9999999999995</v>
      </c>
      <c r="L33" s="131">
        <v>3404.363636363636</v>
      </c>
      <c r="M33" s="131">
        <v>340.63636363636363</v>
      </c>
      <c r="N33" s="131">
        <v>3516</v>
      </c>
      <c r="O33" s="131">
        <v>3316</v>
      </c>
      <c r="P33" s="131">
        <v>200</v>
      </c>
      <c r="Q33" s="131">
        <v>228.67700000000002</v>
      </c>
      <c r="R33" s="131">
        <v>87.677000000000007</v>
      </c>
      <c r="S33" s="131">
        <v>141</v>
      </c>
      <c r="T33" s="131">
        <v>0</v>
      </c>
      <c r="U33" s="131"/>
      <c r="V33" s="131"/>
      <c r="W33" s="131">
        <v>0</v>
      </c>
      <c r="X33" s="131"/>
      <c r="Y33" s="131"/>
      <c r="Z33" s="131"/>
      <c r="AA33" s="131"/>
      <c r="AB33" s="132"/>
      <c r="AC33" s="132"/>
      <c r="AD33" s="132"/>
      <c r="AE33" s="132"/>
      <c r="AF33" s="66"/>
    </row>
    <row r="34" spans="1:32" ht="56.25">
      <c r="A34" s="58"/>
      <c r="B34" s="49" t="s">
        <v>884</v>
      </c>
      <c r="C34" s="59" t="s">
        <v>885</v>
      </c>
      <c r="D34" s="59"/>
      <c r="E34" s="59"/>
      <c r="F34" s="59"/>
      <c r="G34" s="131">
        <v>8003</v>
      </c>
      <c r="H34" s="131">
        <v>6928</v>
      </c>
      <c r="I34" s="131">
        <v>1075</v>
      </c>
      <c r="J34" s="131"/>
      <c r="K34" s="131">
        <v>0</v>
      </c>
      <c r="L34" s="131"/>
      <c r="M34" s="131"/>
      <c r="N34" s="131"/>
      <c r="O34" s="131"/>
      <c r="P34" s="131"/>
      <c r="Q34" s="131">
        <v>0</v>
      </c>
      <c r="R34" s="131"/>
      <c r="S34" s="131"/>
      <c r="T34" s="131">
        <v>0</v>
      </c>
      <c r="U34" s="131"/>
      <c r="V34" s="131"/>
      <c r="W34" s="131">
        <v>0</v>
      </c>
      <c r="X34" s="131"/>
      <c r="Y34" s="131"/>
      <c r="Z34" s="131"/>
      <c r="AA34" s="131"/>
      <c r="AB34" s="132"/>
      <c r="AC34" s="132">
        <v>7621</v>
      </c>
      <c r="AD34" s="132">
        <v>6928</v>
      </c>
      <c r="AE34" s="132">
        <v>693</v>
      </c>
      <c r="AF34" s="66"/>
    </row>
    <row r="35" spans="1:32" ht="56.25">
      <c r="A35" s="58"/>
      <c r="B35" s="49" t="s">
        <v>887</v>
      </c>
      <c r="C35" s="59" t="s">
        <v>888</v>
      </c>
      <c r="D35" s="59">
        <v>352.5</v>
      </c>
      <c r="E35" s="59" t="s">
        <v>230</v>
      </c>
      <c r="F35" s="59" t="s">
        <v>889</v>
      </c>
      <c r="G35" s="131">
        <v>2125</v>
      </c>
      <c r="H35" s="131">
        <v>1840</v>
      </c>
      <c r="I35" s="131">
        <v>285</v>
      </c>
      <c r="J35" s="131"/>
      <c r="K35" s="131">
        <v>2821</v>
      </c>
      <c r="L35" s="131">
        <v>2565</v>
      </c>
      <c r="M35" s="131">
        <v>256</v>
      </c>
      <c r="N35" s="131">
        <v>1840</v>
      </c>
      <c r="O35" s="131">
        <v>1840</v>
      </c>
      <c r="P35" s="131">
        <v>0</v>
      </c>
      <c r="Q35" s="131">
        <v>981.495</v>
      </c>
      <c r="R35" s="131">
        <v>725.495</v>
      </c>
      <c r="S35" s="131">
        <v>256</v>
      </c>
      <c r="T35" s="131">
        <v>0</v>
      </c>
      <c r="U35" s="131"/>
      <c r="V35" s="131"/>
      <c r="W35" s="131">
        <v>0</v>
      </c>
      <c r="X35" s="131"/>
      <c r="Y35" s="131"/>
      <c r="Z35" s="131"/>
      <c r="AA35" s="131"/>
      <c r="AB35" s="132"/>
      <c r="AC35" s="132">
        <v>0</v>
      </c>
      <c r="AD35" s="132"/>
      <c r="AE35" s="132"/>
      <c r="AF35" s="66"/>
    </row>
    <row r="36" spans="1:32" ht="56.25">
      <c r="A36" s="58"/>
      <c r="B36" s="49" t="s">
        <v>890</v>
      </c>
      <c r="C36" s="59" t="s">
        <v>891</v>
      </c>
      <c r="D36" s="59">
        <v>506.7</v>
      </c>
      <c r="E36" s="59" t="s">
        <v>230</v>
      </c>
      <c r="F36" s="59" t="s">
        <v>892</v>
      </c>
      <c r="G36" s="131">
        <v>1343</v>
      </c>
      <c r="H36" s="131">
        <v>1163</v>
      </c>
      <c r="I36" s="131">
        <v>180</v>
      </c>
      <c r="J36" s="131"/>
      <c r="K36" s="131">
        <v>1279</v>
      </c>
      <c r="L36" s="131">
        <v>1163</v>
      </c>
      <c r="M36" s="131">
        <v>116</v>
      </c>
      <c r="N36" s="131">
        <v>1210</v>
      </c>
      <c r="O36" s="131">
        <v>1162</v>
      </c>
      <c r="P36" s="131">
        <v>48</v>
      </c>
      <c r="Q36" s="131">
        <v>68.953999999999994</v>
      </c>
      <c r="R36" s="131">
        <v>0.95399999999999996</v>
      </c>
      <c r="S36" s="131">
        <v>68</v>
      </c>
      <c r="T36" s="131">
        <v>0</v>
      </c>
      <c r="U36" s="131"/>
      <c r="V36" s="131"/>
      <c r="W36" s="131">
        <v>0</v>
      </c>
      <c r="X36" s="131"/>
      <c r="Y36" s="131"/>
      <c r="Z36" s="131"/>
      <c r="AA36" s="131"/>
      <c r="AB36" s="132"/>
      <c r="AC36" s="132">
        <v>0</v>
      </c>
      <c r="AD36" s="132"/>
      <c r="AE36" s="132"/>
      <c r="AF36" s="66"/>
    </row>
    <row r="37" spans="1:32" ht="56.25">
      <c r="A37" s="58"/>
      <c r="B37" s="49" t="s">
        <v>893</v>
      </c>
      <c r="C37" s="59" t="s">
        <v>894</v>
      </c>
      <c r="D37" s="59" t="s">
        <v>895</v>
      </c>
      <c r="E37" s="59" t="s">
        <v>230</v>
      </c>
      <c r="F37" s="59" t="s">
        <v>896</v>
      </c>
      <c r="G37" s="131">
        <v>5238</v>
      </c>
      <c r="H37" s="131">
        <v>4535</v>
      </c>
      <c r="I37" s="131">
        <v>703</v>
      </c>
      <c r="J37" s="131"/>
      <c r="K37" s="131">
        <v>4797</v>
      </c>
      <c r="L37" s="131">
        <v>4361</v>
      </c>
      <c r="M37" s="131">
        <v>436</v>
      </c>
      <c r="N37" s="131">
        <v>4709</v>
      </c>
      <c r="O37" s="131">
        <v>4333</v>
      </c>
      <c r="P37" s="131">
        <v>376</v>
      </c>
      <c r="Q37" s="131">
        <v>87.533999999999992</v>
      </c>
      <c r="R37" s="131">
        <v>27.533999999999999</v>
      </c>
      <c r="S37" s="131">
        <v>60</v>
      </c>
      <c r="T37" s="131">
        <v>0</v>
      </c>
      <c r="U37" s="131"/>
      <c r="V37" s="131"/>
      <c r="W37" s="131">
        <v>0</v>
      </c>
      <c r="X37" s="131"/>
      <c r="Y37" s="131"/>
      <c r="Z37" s="131"/>
      <c r="AA37" s="131"/>
      <c r="AB37" s="132"/>
      <c r="AC37" s="132"/>
      <c r="AD37" s="132"/>
      <c r="AE37" s="132"/>
      <c r="AF37" s="66"/>
    </row>
    <row r="38" spans="1:32" ht="56.25">
      <c r="A38" s="58"/>
      <c r="B38" s="49" t="s">
        <v>897</v>
      </c>
      <c r="C38" s="59" t="s">
        <v>898</v>
      </c>
      <c r="D38" s="59" t="s">
        <v>899</v>
      </c>
      <c r="E38" s="59" t="s">
        <v>230</v>
      </c>
      <c r="F38" s="59" t="s">
        <v>900</v>
      </c>
      <c r="G38" s="131">
        <v>4253</v>
      </c>
      <c r="H38" s="131">
        <v>3682</v>
      </c>
      <c r="I38" s="131">
        <v>571</v>
      </c>
      <c r="J38" s="131"/>
      <c r="K38" s="131">
        <v>4050</v>
      </c>
      <c r="L38" s="131">
        <v>3682</v>
      </c>
      <c r="M38" s="131">
        <v>368</v>
      </c>
      <c r="N38" s="131">
        <v>3995</v>
      </c>
      <c r="O38" s="131">
        <v>3682</v>
      </c>
      <c r="P38" s="131">
        <v>313</v>
      </c>
      <c r="Q38" s="131">
        <v>55</v>
      </c>
      <c r="R38" s="131">
        <v>0</v>
      </c>
      <c r="S38" s="131">
        <v>55</v>
      </c>
      <c r="T38" s="131">
        <v>13</v>
      </c>
      <c r="U38" s="131">
        <v>0</v>
      </c>
      <c r="V38" s="131">
        <v>13</v>
      </c>
      <c r="W38" s="131">
        <v>0</v>
      </c>
      <c r="X38" s="131"/>
      <c r="Y38" s="131"/>
      <c r="Z38" s="131"/>
      <c r="AA38" s="131"/>
      <c r="AB38" s="132"/>
      <c r="AC38" s="132">
        <v>0</v>
      </c>
      <c r="AD38" s="132"/>
      <c r="AE38" s="132"/>
      <c r="AF38" s="66"/>
    </row>
    <row r="39" spans="1:32" ht="75">
      <c r="A39" s="58"/>
      <c r="B39" s="49" t="s">
        <v>901</v>
      </c>
      <c r="C39" s="59" t="s">
        <v>902</v>
      </c>
      <c r="D39" s="59" t="s">
        <v>903</v>
      </c>
      <c r="E39" s="59" t="s">
        <v>230</v>
      </c>
      <c r="F39" s="59" t="s">
        <v>904</v>
      </c>
      <c r="G39" s="131">
        <v>5315</v>
      </c>
      <c r="H39" s="131">
        <v>4602</v>
      </c>
      <c r="I39" s="131">
        <v>713</v>
      </c>
      <c r="J39" s="131"/>
      <c r="K39" s="131">
        <v>5062</v>
      </c>
      <c r="L39" s="131">
        <v>4601</v>
      </c>
      <c r="M39" s="131">
        <v>461</v>
      </c>
      <c r="N39" s="131">
        <v>5048</v>
      </c>
      <c r="O39" s="131">
        <v>4601</v>
      </c>
      <c r="P39" s="131">
        <v>447</v>
      </c>
      <c r="Q39" s="131">
        <v>14</v>
      </c>
      <c r="R39" s="131">
        <v>0</v>
      </c>
      <c r="S39" s="131">
        <v>14</v>
      </c>
      <c r="T39" s="131">
        <v>0</v>
      </c>
      <c r="U39" s="131"/>
      <c r="V39" s="131"/>
      <c r="W39" s="131">
        <v>0</v>
      </c>
      <c r="X39" s="131"/>
      <c r="Y39" s="131"/>
      <c r="Z39" s="131"/>
      <c r="AA39" s="131"/>
      <c r="AB39" s="132"/>
      <c r="AC39" s="132">
        <v>0</v>
      </c>
      <c r="AD39" s="132"/>
      <c r="AE39" s="132"/>
      <c r="AF39" s="66"/>
    </row>
    <row r="40" spans="1:32" ht="56.25">
      <c r="A40" s="58"/>
      <c r="B40" s="49" t="s">
        <v>905</v>
      </c>
      <c r="C40" s="59" t="s">
        <v>906</v>
      </c>
      <c r="D40" s="59" t="s">
        <v>907</v>
      </c>
      <c r="E40" s="59" t="s">
        <v>230</v>
      </c>
      <c r="F40" s="59" t="s">
        <v>908</v>
      </c>
      <c r="G40" s="131">
        <v>3122</v>
      </c>
      <c r="H40" s="131">
        <v>2703</v>
      </c>
      <c r="I40" s="131">
        <v>419</v>
      </c>
      <c r="J40" s="131"/>
      <c r="K40" s="131">
        <v>2973</v>
      </c>
      <c r="L40" s="131">
        <v>2703</v>
      </c>
      <c r="M40" s="131">
        <v>270</v>
      </c>
      <c r="N40" s="131">
        <v>2893</v>
      </c>
      <c r="O40" s="131">
        <v>2703</v>
      </c>
      <c r="P40" s="131">
        <v>190</v>
      </c>
      <c r="Q40" s="131">
        <v>80</v>
      </c>
      <c r="R40" s="131">
        <v>0</v>
      </c>
      <c r="S40" s="131">
        <v>80</v>
      </c>
      <c r="T40" s="131">
        <v>155</v>
      </c>
      <c r="U40" s="131">
        <v>88</v>
      </c>
      <c r="V40" s="131">
        <v>67</v>
      </c>
      <c r="W40" s="131">
        <v>0</v>
      </c>
      <c r="X40" s="131"/>
      <c r="Y40" s="131"/>
      <c r="Z40" s="131"/>
      <c r="AA40" s="131"/>
      <c r="AB40" s="132"/>
      <c r="AC40" s="132">
        <v>0</v>
      </c>
      <c r="AD40" s="132"/>
      <c r="AE40" s="132"/>
      <c r="AF40" s="66"/>
    </row>
    <row r="41" spans="1:32" s="3" customFormat="1" ht="136.5">
      <c r="A41" s="54" t="s">
        <v>147</v>
      </c>
      <c r="B41" s="137" t="s">
        <v>909</v>
      </c>
      <c r="C41" s="56"/>
      <c r="D41" s="56"/>
      <c r="E41" s="56"/>
      <c r="F41" s="56"/>
      <c r="G41" s="138">
        <f>SUM(G42:G47)</f>
        <v>103168</v>
      </c>
      <c r="H41" s="138">
        <f t="shared" ref="H41:AE41" si="3">SUM(H42:H47)</f>
        <v>79958</v>
      </c>
      <c r="I41" s="138">
        <f t="shared" si="3"/>
        <v>7996</v>
      </c>
      <c r="J41" s="138">
        <f t="shared" si="3"/>
        <v>0</v>
      </c>
      <c r="K41" s="138">
        <f t="shared" si="3"/>
        <v>61568</v>
      </c>
      <c r="L41" s="138">
        <f t="shared" si="3"/>
        <v>55971</v>
      </c>
      <c r="M41" s="138">
        <f t="shared" si="3"/>
        <v>5597</v>
      </c>
      <c r="N41" s="138">
        <f t="shared" si="3"/>
        <v>48149.705999999998</v>
      </c>
      <c r="O41" s="138">
        <f t="shared" si="3"/>
        <v>45441.705999999998</v>
      </c>
      <c r="P41" s="138">
        <f t="shared" si="3"/>
        <v>2708</v>
      </c>
      <c r="Q41" s="138">
        <f t="shared" si="3"/>
        <v>13418</v>
      </c>
      <c r="R41" s="138">
        <f t="shared" si="3"/>
        <v>10529</v>
      </c>
      <c r="S41" s="138">
        <f t="shared" si="3"/>
        <v>2889</v>
      </c>
      <c r="T41" s="138">
        <f t="shared" si="3"/>
        <v>9045</v>
      </c>
      <c r="U41" s="138">
        <f t="shared" si="3"/>
        <v>8214</v>
      </c>
      <c r="V41" s="138">
        <f t="shared" si="3"/>
        <v>831</v>
      </c>
      <c r="W41" s="138">
        <f t="shared" si="3"/>
        <v>11000</v>
      </c>
      <c r="X41" s="138">
        <f t="shared" si="3"/>
        <v>10000</v>
      </c>
      <c r="Y41" s="138">
        <f t="shared" si="3"/>
        <v>1000</v>
      </c>
      <c r="Z41" s="138">
        <f t="shared" si="3"/>
        <v>5868</v>
      </c>
      <c r="AA41" s="138">
        <f t="shared" si="3"/>
        <v>5612</v>
      </c>
      <c r="AB41" s="138">
        <f t="shared" si="3"/>
        <v>256</v>
      </c>
      <c r="AC41" s="138">
        <f t="shared" si="3"/>
        <v>15386</v>
      </c>
      <c r="AD41" s="138">
        <f t="shared" si="3"/>
        <v>13987</v>
      </c>
      <c r="AE41" s="138">
        <f t="shared" si="3"/>
        <v>1399</v>
      </c>
      <c r="AF41" s="73"/>
    </row>
    <row r="42" spans="1:32" ht="56.25">
      <c r="A42" s="58"/>
      <c r="B42" s="49" t="s">
        <v>910</v>
      </c>
      <c r="C42" s="59" t="s">
        <v>894</v>
      </c>
      <c r="D42" s="59" t="s">
        <v>911</v>
      </c>
      <c r="E42" s="59" t="s">
        <v>312</v>
      </c>
      <c r="F42" s="59" t="s">
        <v>912</v>
      </c>
      <c r="G42" s="131">
        <v>23555</v>
      </c>
      <c r="H42" s="131">
        <v>18520</v>
      </c>
      <c r="I42" s="131">
        <v>1852</v>
      </c>
      <c r="J42" s="131"/>
      <c r="K42" s="131">
        <v>14391</v>
      </c>
      <c r="L42" s="131">
        <v>13083</v>
      </c>
      <c r="M42" s="131">
        <v>1308</v>
      </c>
      <c r="N42" s="131">
        <v>14391</v>
      </c>
      <c r="O42" s="131">
        <v>13083</v>
      </c>
      <c r="P42" s="131">
        <v>1308</v>
      </c>
      <c r="Q42" s="131"/>
      <c r="R42" s="131"/>
      <c r="S42" s="131"/>
      <c r="T42" s="131"/>
      <c r="U42" s="131"/>
      <c r="V42" s="131"/>
      <c r="W42" s="131">
        <v>5670</v>
      </c>
      <c r="X42" s="131">
        <v>5155</v>
      </c>
      <c r="Y42" s="131">
        <v>515</v>
      </c>
      <c r="Z42" s="131">
        <v>5411</v>
      </c>
      <c r="AA42" s="131">
        <v>5155</v>
      </c>
      <c r="AB42" s="132">
        <v>256</v>
      </c>
      <c r="AC42" s="132">
        <v>311</v>
      </c>
      <c r="AD42" s="132">
        <v>282</v>
      </c>
      <c r="AE42" s="132">
        <v>29</v>
      </c>
      <c r="AF42" s="66"/>
    </row>
    <row r="43" spans="1:32" ht="112.5">
      <c r="A43" s="58"/>
      <c r="B43" s="49" t="s">
        <v>913</v>
      </c>
      <c r="C43" s="59" t="s">
        <v>914</v>
      </c>
      <c r="D43" s="59" t="s">
        <v>915</v>
      </c>
      <c r="E43" s="59" t="s">
        <v>312</v>
      </c>
      <c r="F43" s="59" t="s">
        <v>916</v>
      </c>
      <c r="G43" s="131">
        <v>28249</v>
      </c>
      <c r="H43" s="131">
        <v>23238</v>
      </c>
      <c r="I43" s="131">
        <v>2324</v>
      </c>
      <c r="J43" s="131"/>
      <c r="K43" s="131">
        <v>15463</v>
      </c>
      <c r="L43" s="131">
        <v>14057</v>
      </c>
      <c r="M43" s="131">
        <v>1406</v>
      </c>
      <c r="N43" s="131">
        <v>14607.165999999999</v>
      </c>
      <c r="O43" s="131">
        <v>13207.165999999999</v>
      </c>
      <c r="P43" s="131">
        <v>1400</v>
      </c>
      <c r="Q43" s="131">
        <v>856</v>
      </c>
      <c r="R43" s="131">
        <v>850</v>
      </c>
      <c r="S43" s="131">
        <v>6</v>
      </c>
      <c r="T43" s="131">
        <v>850</v>
      </c>
      <c r="U43" s="131">
        <v>850</v>
      </c>
      <c r="V43" s="131"/>
      <c r="W43" s="131">
        <v>5330</v>
      </c>
      <c r="X43" s="131">
        <v>4845</v>
      </c>
      <c r="Y43" s="131">
        <v>485</v>
      </c>
      <c r="Z43" s="131">
        <v>457</v>
      </c>
      <c r="AA43" s="131">
        <v>457</v>
      </c>
      <c r="AB43" s="132">
        <v>0</v>
      </c>
      <c r="AC43" s="132">
        <v>4769</v>
      </c>
      <c r="AD43" s="132">
        <v>4336</v>
      </c>
      <c r="AE43" s="132">
        <v>433</v>
      </c>
      <c r="AF43" s="66"/>
    </row>
    <row r="44" spans="1:32" ht="56.25">
      <c r="A44" s="58"/>
      <c r="B44" s="49" t="s">
        <v>917</v>
      </c>
      <c r="C44" s="59" t="s">
        <v>888</v>
      </c>
      <c r="D44" s="59" t="s">
        <v>918</v>
      </c>
      <c r="E44" s="59" t="s">
        <v>312</v>
      </c>
      <c r="F44" s="59" t="s">
        <v>919</v>
      </c>
      <c r="G44" s="131">
        <v>21844</v>
      </c>
      <c r="H44" s="131">
        <v>17410</v>
      </c>
      <c r="I44" s="131">
        <v>1741</v>
      </c>
      <c r="J44" s="131"/>
      <c r="K44" s="131">
        <v>19151</v>
      </c>
      <c r="L44" s="131">
        <v>17410</v>
      </c>
      <c r="M44" s="131">
        <v>1741</v>
      </c>
      <c r="N44" s="131">
        <v>10958.94</v>
      </c>
      <c r="O44" s="131">
        <v>10958.94</v>
      </c>
      <c r="P44" s="131"/>
      <c r="Q44" s="131">
        <v>8192</v>
      </c>
      <c r="R44" s="131">
        <v>6451</v>
      </c>
      <c r="S44" s="131">
        <v>1741</v>
      </c>
      <c r="T44" s="131">
        <v>4136</v>
      </c>
      <c r="U44" s="131">
        <v>4136</v>
      </c>
      <c r="V44" s="131">
        <v>0</v>
      </c>
      <c r="W44" s="131"/>
      <c r="X44" s="131"/>
      <c r="Y44" s="131"/>
      <c r="Z44" s="131"/>
      <c r="AA44" s="131"/>
      <c r="AB44" s="132"/>
      <c r="AC44" s="132">
        <v>0</v>
      </c>
      <c r="AD44" s="132"/>
      <c r="AE44" s="132"/>
      <c r="AF44" s="66"/>
    </row>
    <row r="45" spans="1:32" ht="56.25">
      <c r="A45" s="58"/>
      <c r="B45" s="49" t="s">
        <v>920</v>
      </c>
      <c r="C45" s="59" t="s">
        <v>921</v>
      </c>
      <c r="D45" s="59" t="s">
        <v>922</v>
      </c>
      <c r="E45" s="59" t="s">
        <v>312</v>
      </c>
      <c r="F45" s="59" t="s">
        <v>923</v>
      </c>
      <c r="G45" s="131">
        <v>16432</v>
      </c>
      <c r="H45" s="131">
        <v>11886</v>
      </c>
      <c r="I45" s="131">
        <v>1188</v>
      </c>
      <c r="J45" s="131"/>
      <c r="K45" s="131">
        <v>12563</v>
      </c>
      <c r="L45" s="131">
        <v>11421</v>
      </c>
      <c r="M45" s="131">
        <v>1142</v>
      </c>
      <c r="N45" s="131">
        <v>8192.6</v>
      </c>
      <c r="O45" s="131">
        <v>8192.6</v>
      </c>
      <c r="P45" s="131"/>
      <c r="Q45" s="131">
        <v>4370</v>
      </c>
      <c r="R45" s="131">
        <v>3228</v>
      </c>
      <c r="S45" s="131">
        <v>1142</v>
      </c>
      <c r="T45" s="131">
        <v>4059</v>
      </c>
      <c r="U45" s="131">
        <v>3228</v>
      </c>
      <c r="V45" s="131">
        <v>831</v>
      </c>
      <c r="W45" s="131"/>
      <c r="X45" s="131"/>
      <c r="Y45" s="131"/>
      <c r="Z45" s="131"/>
      <c r="AA45" s="131"/>
      <c r="AB45" s="132"/>
      <c r="AC45" s="132">
        <v>511</v>
      </c>
      <c r="AD45" s="132">
        <v>465</v>
      </c>
      <c r="AE45" s="132">
        <v>46</v>
      </c>
      <c r="AF45" s="47" t="s">
        <v>886</v>
      </c>
    </row>
    <row r="46" spans="1:32" ht="56.25">
      <c r="A46" s="58"/>
      <c r="B46" s="49" t="s">
        <v>924</v>
      </c>
      <c r="C46" s="59" t="s">
        <v>925</v>
      </c>
      <c r="D46" s="59"/>
      <c r="E46" s="59"/>
      <c r="F46" s="59"/>
      <c r="G46" s="131">
        <v>6685</v>
      </c>
      <c r="H46" s="131">
        <v>4895</v>
      </c>
      <c r="I46" s="131">
        <v>490</v>
      </c>
      <c r="J46" s="131"/>
      <c r="K46" s="131">
        <v>0</v>
      </c>
      <c r="L46" s="131"/>
      <c r="M46" s="131"/>
      <c r="N46" s="131"/>
      <c r="O46" s="131"/>
      <c r="P46" s="131"/>
      <c r="Q46" s="131"/>
      <c r="R46" s="131"/>
      <c r="S46" s="131"/>
      <c r="T46" s="131"/>
      <c r="U46" s="131"/>
      <c r="V46" s="131"/>
      <c r="W46" s="131"/>
      <c r="X46" s="131"/>
      <c r="Y46" s="131"/>
      <c r="Z46" s="131"/>
      <c r="AA46" s="131"/>
      <c r="AB46" s="132"/>
      <c r="AC46" s="132">
        <v>5385</v>
      </c>
      <c r="AD46" s="132">
        <v>4895</v>
      </c>
      <c r="AE46" s="132">
        <v>490</v>
      </c>
      <c r="AF46" s="47" t="s">
        <v>886</v>
      </c>
    </row>
    <row r="47" spans="1:32" ht="56.25">
      <c r="A47" s="58"/>
      <c r="B47" s="49" t="s">
        <v>926</v>
      </c>
      <c r="C47" s="59" t="s">
        <v>927</v>
      </c>
      <c r="D47" s="59"/>
      <c r="E47" s="59"/>
      <c r="F47" s="59"/>
      <c r="G47" s="131">
        <v>6403</v>
      </c>
      <c r="H47" s="131">
        <v>4009</v>
      </c>
      <c r="I47" s="131">
        <v>401</v>
      </c>
      <c r="J47" s="131"/>
      <c r="K47" s="131">
        <v>0</v>
      </c>
      <c r="L47" s="131"/>
      <c r="M47" s="131"/>
      <c r="N47" s="131"/>
      <c r="O47" s="131"/>
      <c r="P47" s="131"/>
      <c r="Q47" s="131"/>
      <c r="R47" s="131"/>
      <c r="S47" s="131"/>
      <c r="T47" s="131"/>
      <c r="U47" s="131"/>
      <c r="V47" s="131"/>
      <c r="W47" s="131"/>
      <c r="X47" s="131"/>
      <c r="Y47" s="131"/>
      <c r="Z47" s="131"/>
      <c r="AA47" s="131"/>
      <c r="AB47" s="132"/>
      <c r="AC47" s="132">
        <v>4410</v>
      </c>
      <c r="AD47" s="132">
        <v>4009</v>
      </c>
      <c r="AE47" s="132">
        <v>401</v>
      </c>
      <c r="AF47" s="47" t="s">
        <v>886</v>
      </c>
    </row>
    <row r="48" spans="1:32" s="2" customFormat="1" ht="56.25">
      <c r="A48" s="50">
        <v>2</v>
      </c>
      <c r="B48" s="129" t="s">
        <v>1149</v>
      </c>
      <c r="C48" s="52"/>
      <c r="D48" s="52"/>
      <c r="E48" s="52"/>
      <c r="F48" s="52"/>
      <c r="G48" s="130">
        <f>G49+G53</f>
        <v>98059</v>
      </c>
      <c r="H48" s="130">
        <f t="shared" ref="H48:AE48" si="4">H49+H53</f>
        <v>89144</v>
      </c>
      <c r="I48" s="130">
        <f t="shared" si="4"/>
        <v>8915</v>
      </c>
      <c r="J48" s="130">
        <f t="shared" si="4"/>
        <v>0</v>
      </c>
      <c r="K48" s="130">
        <f t="shared" si="4"/>
        <v>49953.1</v>
      </c>
      <c r="L48" s="130">
        <f t="shared" si="4"/>
        <v>45412</v>
      </c>
      <c r="M48" s="130">
        <f t="shared" si="4"/>
        <v>4541.1000000000004</v>
      </c>
      <c r="N48" s="130">
        <f t="shared" si="4"/>
        <v>35812</v>
      </c>
      <c r="O48" s="130">
        <f t="shared" si="4"/>
        <v>34156</v>
      </c>
      <c r="P48" s="130">
        <f t="shared" si="4"/>
        <v>1656</v>
      </c>
      <c r="Q48" s="130">
        <f t="shared" si="4"/>
        <v>14141.300000000001</v>
      </c>
      <c r="R48" s="130">
        <f t="shared" si="4"/>
        <v>11256.2</v>
      </c>
      <c r="S48" s="130">
        <f t="shared" si="4"/>
        <v>2885.1</v>
      </c>
      <c r="T48" s="130">
        <f t="shared" si="4"/>
        <v>3013.4</v>
      </c>
      <c r="U48" s="130">
        <f t="shared" si="4"/>
        <v>2944</v>
      </c>
      <c r="V48" s="130">
        <f t="shared" si="4"/>
        <v>69</v>
      </c>
      <c r="W48" s="130">
        <f t="shared" si="4"/>
        <v>43082</v>
      </c>
      <c r="X48" s="130">
        <f t="shared" si="4"/>
        <v>39165</v>
      </c>
      <c r="Y48" s="130">
        <f t="shared" si="4"/>
        <v>3917</v>
      </c>
      <c r="Z48" s="130">
        <f t="shared" si="4"/>
        <v>5504.6</v>
      </c>
      <c r="AA48" s="130">
        <f t="shared" si="4"/>
        <v>5504.6</v>
      </c>
      <c r="AB48" s="130">
        <f t="shared" si="4"/>
        <v>0</v>
      </c>
      <c r="AC48" s="130">
        <f t="shared" si="4"/>
        <v>5024</v>
      </c>
      <c r="AD48" s="130">
        <f t="shared" si="4"/>
        <v>4567</v>
      </c>
      <c r="AE48" s="130">
        <f t="shared" si="4"/>
        <v>457</v>
      </c>
      <c r="AF48" s="72"/>
    </row>
    <row r="49" spans="1:32" s="3" customFormat="1" ht="58.5">
      <c r="A49" s="54" t="s">
        <v>162</v>
      </c>
      <c r="B49" s="137" t="s">
        <v>1135</v>
      </c>
      <c r="C49" s="56"/>
      <c r="D49" s="56"/>
      <c r="E49" s="56"/>
      <c r="F49" s="56"/>
      <c r="G49" s="138">
        <f>SUM(G50:G52)</f>
        <v>81550</v>
      </c>
      <c r="H49" s="138">
        <f t="shared" ref="H49:AE49" si="5">SUM(H50:H52)</f>
        <v>74136</v>
      </c>
      <c r="I49" s="138">
        <f t="shared" si="5"/>
        <v>7414</v>
      </c>
      <c r="J49" s="138">
        <f t="shared" si="5"/>
        <v>0</v>
      </c>
      <c r="K49" s="138">
        <f t="shared" si="5"/>
        <v>43495.1</v>
      </c>
      <c r="L49" s="138">
        <f t="shared" si="5"/>
        <v>39541</v>
      </c>
      <c r="M49" s="138">
        <f t="shared" si="5"/>
        <v>3954.1</v>
      </c>
      <c r="N49" s="138">
        <f t="shared" si="5"/>
        <v>30892</v>
      </c>
      <c r="O49" s="138">
        <f t="shared" si="5"/>
        <v>29366</v>
      </c>
      <c r="P49" s="138">
        <f t="shared" si="5"/>
        <v>1526</v>
      </c>
      <c r="Q49" s="138">
        <f t="shared" si="5"/>
        <v>12603.1</v>
      </c>
      <c r="R49" s="138">
        <f t="shared" si="5"/>
        <v>10175</v>
      </c>
      <c r="S49" s="138">
        <f t="shared" si="5"/>
        <v>2428.1</v>
      </c>
      <c r="T49" s="138">
        <f t="shared" si="5"/>
        <v>3013.4</v>
      </c>
      <c r="U49" s="138">
        <f t="shared" si="5"/>
        <v>2944</v>
      </c>
      <c r="V49" s="138">
        <f t="shared" si="5"/>
        <v>69</v>
      </c>
      <c r="W49" s="138">
        <f t="shared" si="5"/>
        <v>38055</v>
      </c>
      <c r="X49" s="138">
        <f t="shared" si="5"/>
        <v>34595</v>
      </c>
      <c r="Y49" s="138">
        <f t="shared" si="5"/>
        <v>3460</v>
      </c>
      <c r="Z49" s="138">
        <f t="shared" si="5"/>
        <v>5504.6</v>
      </c>
      <c r="AA49" s="138">
        <f t="shared" si="5"/>
        <v>5504.6</v>
      </c>
      <c r="AB49" s="138">
        <f t="shared" si="5"/>
        <v>0</v>
      </c>
      <c r="AC49" s="138">
        <f t="shared" si="5"/>
        <v>0</v>
      </c>
      <c r="AD49" s="138">
        <f t="shared" si="5"/>
        <v>0</v>
      </c>
      <c r="AE49" s="138">
        <f t="shared" si="5"/>
        <v>0</v>
      </c>
      <c r="AF49" s="73"/>
    </row>
    <row r="50" spans="1:32" ht="75">
      <c r="A50" s="58"/>
      <c r="B50" s="49" t="s">
        <v>1136</v>
      </c>
      <c r="C50" s="59" t="s">
        <v>1137</v>
      </c>
      <c r="D50" s="59"/>
      <c r="E50" s="59"/>
      <c r="F50" s="59" t="s">
        <v>1138</v>
      </c>
      <c r="G50" s="131">
        <v>36579</v>
      </c>
      <c r="H50" s="131">
        <v>33254</v>
      </c>
      <c r="I50" s="131">
        <v>3325</v>
      </c>
      <c r="J50" s="131"/>
      <c r="K50" s="131">
        <v>19993.599999999999</v>
      </c>
      <c r="L50" s="131">
        <v>18176</v>
      </c>
      <c r="M50" s="131">
        <v>1817.6</v>
      </c>
      <c r="N50" s="131">
        <v>9865</v>
      </c>
      <c r="O50" s="131">
        <v>9865</v>
      </c>
      <c r="P50" s="131">
        <v>0</v>
      </c>
      <c r="Q50" s="131">
        <v>10128.6</v>
      </c>
      <c r="R50" s="131">
        <v>8311</v>
      </c>
      <c r="S50" s="131">
        <v>1817.6</v>
      </c>
      <c r="T50" s="131">
        <v>2317</v>
      </c>
      <c r="U50" s="131">
        <v>2248</v>
      </c>
      <c r="V50" s="131">
        <v>69</v>
      </c>
      <c r="W50" s="131">
        <v>16585</v>
      </c>
      <c r="X50" s="131">
        <v>15078</v>
      </c>
      <c r="Y50" s="131">
        <v>1507</v>
      </c>
      <c r="Z50" s="131"/>
      <c r="AA50" s="131"/>
      <c r="AB50" s="132"/>
      <c r="AC50" s="132"/>
      <c r="AD50" s="132"/>
      <c r="AE50" s="132"/>
      <c r="AF50" s="66"/>
    </row>
    <row r="51" spans="1:32" ht="75">
      <c r="A51" s="58"/>
      <c r="B51" s="49" t="s">
        <v>1139</v>
      </c>
      <c r="C51" s="59" t="s">
        <v>1140</v>
      </c>
      <c r="D51" s="59"/>
      <c r="E51" s="59"/>
      <c r="F51" s="59" t="s">
        <v>1141</v>
      </c>
      <c r="G51" s="131">
        <v>15000</v>
      </c>
      <c r="H51" s="131">
        <v>13636</v>
      </c>
      <c r="I51" s="131">
        <v>1364</v>
      </c>
      <c r="J51" s="131"/>
      <c r="K51" s="131">
        <v>11210.1</v>
      </c>
      <c r="L51" s="131">
        <v>10191</v>
      </c>
      <c r="M51" s="131">
        <v>1019.1</v>
      </c>
      <c r="N51" s="131">
        <v>9118</v>
      </c>
      <c r="O51" s="131">
        <v>8709</v>
      </c>
      <c r="P51" s="131">
        <v>409</v>
      </c>
      <c r="Q51" s="131">
        <v>2092.1</v>
      </c>
      <c r="R51" s="131">
        <v>1482</v>
      </c>
      <c r="S51" s="131">
        <v>610.1</v>
      </c>
      <c r="T51" s="131">
        <v>314</v>
      </c>
      <c r="U51" s="131">
        <v>314</v>
      </c>
      <c r="V51" s="131"/>
      <c r="W51" s="131">
        <v>3790</v>
      </c>
      <c r="X51" s="131">
        <v>3445</v>
      </c>
      <c r="Y51" s="131">
        <v>345</v>
      </c>
      <c r="Z51" s="131"/>
      <c r="AA51" s="131"/>
      <c r="AB51" s="132"/>
      <c r="AC51" s="132"/>
      <c r="AD51" s="132"/>
      <c r="AE51" s="132"/>
      <c r="AF51" s="66"/>
    </row>
    <row r="52" spans="1:32" ht="93.75">
      <c r="A52" s="58"/>
      <c r="B52" s="49" t="s">
        <v>1142</v>
      </c>
      <c r="C52" s="59" t="s">
        <v>1143</v>
      </c>
      <c r="D52" s="59"/>
      <c r="E52" s="59"/>
      <c r="F52" s="59" t="s">
        <v>1144</v>
      </c>
      <c r="G52" s="131">
        <v>29971</v>
      </c>
      <c r="H52" s="131">
        <v>27246</v>
      </c>
      <c r="I52" s="131">
        <v>2725</v>
      </c>
      <c r="J52" s="131"/>
      <c r="K52" s="131">
        <v>12291.4</v>
      </c>
      <c r="L52" s="131">
        <v>11174</v>
      </c>
      <c r="M52" s="131">
        <v>1117.4000000000001</v>
      </c>
      <c r="N52" s="131">
        <v>11909</v>
      </c>
      <c r="O52" s="131">
        <v>10792</v>
      </c>
      <c r="P52" s="131">
        <v>1117</v>
      </c>
      <c r="Q52" s="131">
        <v>382.40000000000009</v>
      </c>
      <c r="R52" s="131">
        <v>382</v>
      </c>
      <c r="S52" s="131">
        <v>0.40000000000009095</v>
      </c>
      <c r="T52" s="131">
        <v>382.40000000000009</v>
      </c>
      <c r="U52" s="131">
        <v>382</v>
      </c>
      <c r="V52" s="131"/>
      <c r="W52" s="131">
        <v>17680</v>
      </c>
      <c r="X52" s="131">
        <v>16072</v>
      </c>
      <c r="Y52" s="131">
        <v>1608</v>
      </c>
      <c r="Z52" s="131">
        <v>5504.6</v>
      </c>
      <c r="AA52" s="131">
        <v>5504.6</v>
      </c>
      <c r="AB52" s="132"/>
      <c r="AC52" s="132"/>
      <c r="AD52" s="132"/>
      <c r="AE52" s="132"/>
      <c r="AF52" s="66"/>
    </row>
    <row r="53" spans="1:32" s="3" customFormat="1" ht="39">
      <c r="A53" s="54" t="s">
        <v>163</v>
      </c>
      <c r="B53" s="137" t="s">
        <v>1145</v>
      </c>
      <c r="C53" s="56"/>
      <c r="D53" s="56"/>
      <c r="E53" s="56"/>
      <c r="F53" s="56"/>
      <c r="G53" s="138">
        <f>G54</f>
        <v>16509</v>
      </c>
      <c r="H53" s="138">
        <f t="shared" ref="H53:AE53" si="6">H54</f>
        <v>15008</v>
      </c>
      <c r="I53" s="138">
        <f t="shared" si="6"/>
        <v>1501</v>
      </c>
      <c r="J53" s="138">
        <f t="shared" si="6"/>
        <v>0</v>
      </c>
      <c r="K53" s="138">
        <f t="shared" si="6"/>
        <v>6458</v>
      </c>
      <c r="L53" s="138">
        <f t="shared" si="6"/>
        <v>5871</v>
      </c>
      <c r="M53" s="138">
        <f t="shared" si="6"/>
        <v>587</v>
      </c>
      <c r="N53" s="138">
        <f t="shared" si="6"/>
        <v>4920</v>
      </c>
      <c r="O53" s="138">
        <f t="shared" si="6"/>
        <v>4790</v>
      </c>
      <c r="P53" s="138">
        <f t="shared" si="6"/>
        <v>130</v>
      </c>
      <c r="Q53" s="138">
        <f t="shared" si="6"/>
        <v>1538.2</v>
      </c>
      <c r="R53" s="138">
        <f t="shared" si="6"/>
        <v>1081.2</v>
      </c>
      <c r="S53" s="138">
        <f t="shared" si="6"/>
        <v>457</v>
      </c>
      <c r="T53" s="138">
        <f t="shared" si="6"/>
        <v>0</v>
      </c>
      <c r="U53" s="138">
        <f t="shared" si="6"/>
        <v>0</v>
      </c>
      <c r="V53" s="138">
        <f t="shared" si="6"/>
        <v>0</v>
      </c>
      <c r="W53" s="138">
        <f t="shared" si="6"/>
        <v>5027</v>
      </c>
      <c r="X53" s="138">
        <f t="shared" si="6"/>
        <v>4570</v>
      </c>
      <c r="Y53" s="138">
        <f t="shared" si="6"/>
        <v>457</v>
      </c>
      <c r="Z53" s="138">
        <f t="shared" si="6"/>
        <v>0</v>
      </c>
      <c r="AA53" s="138">
        <f t="shared" si="6"/>
        <v>0</v>
      </c>
      <c r="AB53" s="138">
        <f t="shared" si="6"/>
        <v>0</v>
      </c>
      <c r="AC53" s="138">
        <f t="shared" si="6"/>
        <v>5024</v>
      </c>
      <c r="AD53" s="138">
        <f t="shared" si="6"/>
        <v>4567</v>
      </c>
      <c r="AE53" s="138">
        <f t="shared" si="6"/>
        <v>457</v>
      </c>
      <c r="AF53" s="73"/>
    </row>
    <row r="54" spans="1:32" ht="225">
      <c r="A54" s="58"/>
      <c r="B54" s="49" t="s">
        <v>1146</v>
      </c>
      <c r="C54" s="59" t="s">
        <v>1147</v>
      </c>
      <c r="D54" s="59"/>
      <c r="E54" s="59" t="s">
        <v>257</v>
      </c>
      <c r="F54" s="59" t="s">
        <v>1148</v>
      </c>
      <c r="G54" s="131">
        <v>16509</v>
      </c>
      <c r="H54" s="131">
        <v>15008</v>
      </c>
      <c r="I54" s="131">
        <v>1501</v>
      </c>
      <c r="J54" s="131"/>
      <c r="K54" s="131">
        <v>6458</v>
      </c>
      <c r="L54" s="131">
        <v>5871</v>
      </c>
      <c r="M54" s="131">
        <v>587</v>
      </c>
      <c r="N54" s="131">
        <v>4920</v>
      </c>
      <c r="O54" s="131">
        <v>4790</v>
      </c>
      <c r="P54" s="131">
        <v>130</v>
      </c>
      <c r="Q54" s="131">
        <v>1538.2</v>
      </c>
      <c r="R54" s="131">
        <v>1081.2</v>
      </c>
      <c r="S54" s="131">
        <v>457</v>
      </c>
      <c r="T54" s="131">
        <v>0</v>
      </c>
      <c r="U54" s="131">
        <v>0</v>
      </c>
      <c r="V54" s="131">
        <v>0</v>
      </c>
      <c r="W54" s="131">
        <v>5027</v>
      </c>
      <c r="X54" s="131">
        <v>4570</v>
      </c>
      <c r="Y54" s="131">
        <v>457</v>
      </c>
      <c r="Z54" s="131">
        <v>0</v>
      </c>
      <c r="AA54" s="131">
        <v>0</v>
      </c>
      <c r="AB54" s="132"/>
      <c r="AC54" s="132">
        <v>5024</v>
      </c>
      <c r="AD54" s="132">
        <v>4567</v>
      </c>
      <c r="AE54" s="132">
        <v>457</v>
      </c>
      <c r="AF54" s="66"/>
    </row>
    <row r="55" spans="1:32" ht="21.75">
      <c r="A55" s="50" t="s">
        <v>43</v>
      </c>
      <c r="B55" s="51" t="s">
        <v>199</v>
      </c>
      <c r="C55" s="59"/>
      <c r="D55" s="59"/>
      <c r="E55" s="59"/>
      <c r="F55" s="59"/>
      <c r="G55" s="60"/>
      <c r="H55" s="60"/>
      <c r="I55" s="60"/>
      <c r="J55" s="60"/>
      <c r="K55" s="60"/>
      <c r="L55" s="60"/>
      <c r="M55" s="60"/>
      <c r="N55" s="60"/>
      <c r="O55" s="60"/>
      <c r="P55" s="60"/>
      <c r="Q55" s="60"/>
      <c r="R55" s="60"/>
      <c r="S55" s="60"/>
      <c r="T55" s="60"/>
      <c r="U55" s="60"/>
      <c r="V55" s="60"/>
      <c r="W55" s="60"/>
      <c r="X55" s="60"/>
      <c r="Y55" s="60"/>
      <c r="Z55" s="60"/>
      <c r="AA55" s="60"/>
      <c r="AB55" s="66"/>
      <c r="AC55" s="66"/>
      <c r="AD55" s="66"/>
      <c r="AE55" s="66"/>
      <c r="AF55" s="66"/>
    </row>
    <row r="56" spans="1:32">
      <c r="A56" s="58" t="s">
        <v>13</v>
      </c>
      <c r="B56" s="47" t="s">
        <v>40</v>
      </c>
      <c r="C56" s="59"/>
      <c r="D56" s="59"/>
      <c r="E56" s="59"/>
      <c r="F56" s="59"/>
      <c r="G56" s="60"/>
      <c r="H56" s="60"/>
      <c r="I56" s="60"/>
      <c r="J56" s="60"/>
      <c r="K56" s="60"/>
      <c r="L56" s="60"/>
      <c r="M56" s="60"/>
      <c r="N56" s="60"/>
      <c r="O56" s="60"/>
      <c r="P56" s="60"/>
      <c r="Q56" s="60"/>
      <c r="R56" s="60"/>
      <c r="S56" s="60"/>
      <c r="T56" s="60"/>
      <c r="U56" s="60"/>
      <c r="V56" s="60"/>
      <c r="W56" s="60"/>
      <c r="X56" s="60"/>
      <c r="Y56" s="60"/>
      <c r="Z56" s="60"/>
      <c r="AA56" s="60"/>
      <c r="AB56" s="66"/>
      <c r="AC56" s="66"/>
      <c r="AD56" s="66"/>
      <c r="AE56" s="66"/>
      <c r="AF56" s="66"/>
    </row>
    <row r="57" spans="1:32">
      <c r="A57" s="58" t="s">
        <v>2</v>
      </c>
      <c r="B57" s="49" t="s">
        <v>42</v>
      </c>
      <c r="C57" s="59"/>
      <c r="D57" s="59"/>
      <c r="E57" s="59"/>
      <c r="F57" s="59"/>
      <c r="G57" s="60"/>
      <c r="H57" s="60"/>
      <c r="I57" s="60"/>
      <c r="J57" s="60"/>
      <c r="K57" s="60"/>
      <c r="L57" s="60"/>
      <c r="M57" s="60"/>
      <c r="N57" s="60"/>
      <c r="O57" s="60"/>
      <c r="P57" s="60"/>
      <c r="Q57" s="60"/>
      <c r="R57" s="60"/>
      <c r="S57" s="60"/>
      <c r="T57" s="60"/>
      <c r="U57" s="60"/>
      <c r="V57" s="60"/>
      <c r="W57" s="60"/>
      <c r="X57" s="60"/>
      <c r="Y57" s="60"/>
      <c r="Z57" s="60"/>
      <c r="AA57" s="60"/>
      <c r="AB57" s="66"/>
      <c r="AC57" s="66"/>
      <c r="AD57" s="66"/>
      <c r="AE57" s="66"/>
      <c r="AF57" s="66"/>
    </row>
    <row r="58" spans="1:32" s="3" customFormat="1" ht="19.5">
      <c r="A58" s="58" t="s">
        <v>0</v>
      </c>
      <c r="B58" s="47" t="s">
        <v>40</v>
      </c>
      <c r="C58" s="56"/>
      <c r="D58" s="56"/>
      <c r="E58" s="56"/>
      <c r="F58" s="56"/>
      <c r="G58" s="57"/>
      <c r="H58" s="57"/>
      <c r="I58" s="57"/>
      <c r="J58" s="57"/>
      <c r="K58" s="57"/>
      <c r="L58" s="57"/>
      <c r="M58" s="57"/>
      <c r="N58" s="57"/>
      <c r="O58" s="57"/>
      <c r="P58" s="57"/>
      <c r="Q58" s="57"/>
      <c r="R58" s="57"/>
      <c r="S58" s="57"/>
      <c r="T58" s="57"/>
      <c r="U58" s="57"/>
      <c r="V58" s="57"/>
      <c r="W58" s="57"/>
      <c r="X58" s="57"/>
      <c r="Y58" s="57"/>
      <c r="Z58" s="57"/>
      <c r="AA58" s="57"/>
      <c r="AB58" s="73"/>
      <c r="AC58" s="73"/>
      <c r="AD58" s="73"/>
      <c r="AE58" s="73"/>
      <c r="AF58" s="73"/>
    </row>
    <row r="59" spans="1:32">
      <c r="A59" s="58" t="s">
        <v>2</v>
      </c>
      <c r="B59" s="49" t="s">
        <v>42</v>
      </c>
      <c r="C59" s="59"/>
      <c r="D59" s="59"/>
      <c r="E59" s="59"/>
      <c r="F59" s="59"/>
      <c r="G59" s="60"/>
      <c r="H59" s="60"/>
      <c r="I59" s="60"/>
      <c r="J59" s="60"/>
      <c r="K59" s="60"/>
      <c r="L59" s="60"/>
      <c r="M59" s="60"/>
      <c r="N59" s="60"/>
      <c r="O59" s="60"/>
      <c r="P59" s="60"/>
      <c r="Q59" s="60"/>
      <c r="R59" s="60"/>
      <c r="S59" s="60"/>
      <c r="T59" s="60"/>
      <c r="U59" s="60"/>
      <c r="V59" s="60"/>
      <c r="W59" s="60"/>
      <c r="X59" s="60"/>
      <c r="Y59" s="60"/>
      <c r="Z59" s="60"/>
      <c r="AA59" s="60"/>
      <c r="AB59" s="66"/>
      <c r="AC59" s="66"/>
      <c r="AD59" s="66"/>
      <c r="AE59" s="66"/>
      <c r="AF59" s="66"/>
    </row>
    <row r="60" spans="1:32">
      <c r="A60" s="58"/>
      <c r="B60" s="49"/>
      <c r="C60" s="59"/>
      <c r="D60" s="59"/>
      <c r="E60" s="59"/>
      <c r="F60" s="59"/>
      <c r="G60" s="60"/>
      <c r="H60" s="60"/>
      <c r="I60" s="60"/>
      <c r="J60" s="60"/>
      <c r="K60" s="60"/>
      <c r="L60" s="60"/>
      <c r="M60" s="60"/>
      <c r="N60" s="60"/>
      <c r="O60" s="60"/>
      <c r="P60" s="60"/>
      <c r="Q60" s="60"/>
      <c r="R60" s="60"/>
      <c r="S60" s="60"/>
      <c r="T60" s="60"/>
      <c r="U60" s="60"/>
      <c r="V60" s="60"/>
      <c r="W60" s="60"/>
      <c r="X60" s="60"/>
      <c r="Y60" s="60"/>
      <c r="Z60" s="60"/>
      <c r="AA60" s="60"/>
      <c r="AB60" s="66"/>
      <c r="AC60" s="66"/>
      <c r="AD60" s="66"/>
      <c r="AE60" s="66"/>
      <c r="AF60" s="66"/>
    </row>
    <row r="61" spans="1:32" s="3" customFormat="1" ht="19.5">
      <c r="A61" s="54"/>
      <c r="B61" s="55"/>
      <c r="C61" s="56"/>
      <c r="D61" s="56"/>
      <c r="E61" s="56"/>
      <c r="F61" s="56"/>
      <c r="G61" s="57"/>
      <c r="H61" s="57"/>
      <c r="I61" s="57"/>
      <c r="J61" s="57"/>
      <c r="K61" s="57"/>
      <c r="L61" s="57"/>
      <c r="M61" s="57"/>
      <c r="N61" s="57"/>
      <c r="O61" s="57"/>
      <c r="P61" s="57"/>
      <c r="Q61" s="57"/>
      <c r="R61" s="57"/>
      <c r="S61" s="57"/>
      <c r="T61" s="57"/>
      <c r="U61" s="57"/>
      <c r="V61" s="57"/>
      <c r="W61" s="57"/>
      <c r="X61" s="57"/>
      <c r="Y61" s="57"/>
      <c r="Z61" s="57"/>
      <c r="AA61" s="57"/>
      <c r="AB61" s="73"/>
      <c r="AC61" s="73"/>
      <c r="AD61" s="73"/>
      <c r="AE61" s="73"/>
      <c r="AF61" s="73"/>
    </row>
    <row r="62" spans="1:32" ht="21.75">
      <c r="A62" s="50" t="s">
        <v>121</v>
      </c>
      <c r="B62" s="51" t="s">
        <v>199</v>
      </c>
      <c r="C62" s="59"/>
      <c r="D62" s="59"/>
      <c r="E62" s="59"/>
      <c r="F62" s="59"/>
      <c r="G62" s="60"/>
      <c r="H62" s="60"/>
      <c r="I62" s="60"/>
      <c r="J62" s="60"/>
      <c r="K62" s="60"/>
      <c r="L62" s="60"/>
      <c r="M62" s="60"/>
      <c r="N62" s="60"/>
      <c r="O62" s="60"/>
      <c r="P62" s="60"/>
      <c r="Q62" s="60"/>
      <c r="R62" s="60"/>
      <c r="S62" s="60"/>
      <c r="T62" s="60"/>
      <c r="U62" s="60"/>
      <c r="V62" s="60"/>
      <c r="W62" s="60"/>
      <c r="X62" s="60"/>
      <c r="Y62" s="60"/>
      <c r="Z62" s="60"/>
      <c r="AA62" s="60"/>
      <c r="AB62" s="66"/>
      <c r="AC62" s="66"/>
      <c r="AD62" s="66"/>
      <c r="AE62" s="66"/>
      <c r="AF62" s="66"/>
    </row>
    <row r="63" spans="1:32">
      <c r="A63" s="58" t="s">
        <v>13</v>
      </c>
      <c r="B63" s="47" t="s">
        <v>40</v>
      </c>
      <c r="C63" s="59"/>
      <c r="D63" s="59"/>
      <c r="E63" s="59"/>
      <c r="F63" s="59"/>
      <c r="G63" s="60"/>
      <c r="H63" s="60"/>
      <c r="I63" s="60"/>
      <c r="J63" s="60"/>
      <c r="K63" s="60"/>
      <c r="L63" s="60"/>
      <c r="M63" s="60"/>
      <c r="N63" s="60"/>
      <c r="O63" s="60"/>
      <c r="P63" s="60"/>
      <c r="Q63" s="60"/>
      <c r="R63" s="60"/>
      <c r="S63" s="60"/>
      <c r="T63" s="60"/>
      <c r="U63" s="60"/>
      <c r="V63" s="60"/>
      <c r="W63" s="60"/>
      <c r="X63" s="60"/>
      <c r="Y63" s="60"/>
      <c r="Z63" s="60"/>
      <c r="AA63" s="60"/>
      <c r="AB63" s="66"/>
      <c r="AC63" s="66"/>
      <c r="AD63" s="66"/>
      <c r="AE63" s="66"/>
      <c r="AF63" s="66"/>
    </row>
    <row r="64" spans="1:32" s="3" customFormat="1" ht="19.5">
      <c r="A64" s="58" t="s">
        <v>2</v>
      </c>
      <c r="B64" s="49" t="s">
        <v>42</v>
      </c>
      <c r="C64" s="56"/>
      <c r="D64" s="56"/>
      <c r="E64" s="56"/>
      <c r="F64" s="56"/>
      <c r="G64" s="57"/>
      <c r="H64" s="57"/>
      <c r="I64" s="57"/>
      <c r="J64" s="57"/>
      <c r="K64" s="57"/>
      <c r="L64" s="57"/>
      <c r="M64" s="57"/>
      <c r="N64" s="57"/>
      <c r="O64" s="57"/>
      <c r="P64" s="57"/>
      <c r="Q64" s="57"/>
      <c r="R64" s="57"/>
      <c r="S64" s="57"/>
      <c r="T64" s="57"/>
      <c r="U64" s="57"/>
      <c r="V64" s="57"/>
      <c r="W64" s="57"/>
      <c r="X64" s="57"/>
      <c r="Y64" s="57"/>
      <c r="Z64" s="57"/>
      <c r="AA64" s="57"/>
      <c r="AB64" s="73"/>
      <c r="AC64" s="73"/>
      <c r="AD64" s="73"/>
      <c r="AE64" s="73"/>
      <c r="AF64" s="73"/>
    </row>
    <row r="65" spans="1:32">
      <c r="A65" s="58" t="s">
        <v>0</v>
      </c>
      <c r="B65" s="47" t="s">
        <v>40</v>
      </c>
      <c r="C65" s="59"/>
      <c r="D65" s="59"/>
      <c r="E65" s="59"/>
      <c r="F65" s="59"/>
      <c r="G65" s="60"/>
      <c r="H65" s="60"/>
      <c r="I65" s="60"/>
      <c r="J65" s="60"/>
      <c r="K65" s="60"/>
      <c r="L65" s="60"/>
      <c r="M65" s="60"/>
      <c r="N65" s="60"/>
      <c r="O65" s="60"/>
      <c r="P65" s="60"/>
      <c r="Q65" s="60"/>
      <c r="R65" s="60"/>
      <c r="S65" s="60"/>
      <c r="T65" s="60"/>
      <c r="U65" s="60"/>
      <c r="V65" s="60"/>
      <c r="W65" s="60"/>
      <c r="X65" s="60"/>
      <c r="Y65" s="60"/>
      <c r="Z65" s="60"/>
      <c r="AA65" s="60"/>
      <c r="AB65" s="66"/>
      <c r="AC65" s="66"/>
      <c r="AD65" s="66"/>
      <c r="AE65" s="66"/>
      <c r="AF65" s="66"/>
    </row>
    <row r="66" spans="1:32">
      <c r="A66" s="58" t="s">
        <v>2</v>
      </c>
      <c r="B66" s="49" t="s">
        <v>42</v>
      </c>
      <c r="C66" s="59"/>
      <c r="D66" s="59"/>
      <c r="E66" s="59"/>
      <c r="F66" s="59"/>
      <c r="G66" s="60"/>
      <c r="H66" s="60"/>
      <c r="I66" s="60"/>
      <c r="J66" s="60"/>
      <c r="K66" s="60"/>
      <c r="L66" s="60"/>
      <c r="M66" s="60"/>
      <c r="N66" s="60"/>
      <c r="O66" s="60"/>
      <c r="P66" s="60"/>
      <c r="Q66" s="60"/>
      <c r="R66" s="60"/>
      <c r="S66" s="60"/>
      <c r="T66" s="60"/>
      <c r="U66" s="60"/>
      <c r="V66" s="60"/>
      <c r="W66" s="60"/>
      <c r="X66" s="60"/>
      <c r="Y66" s="60"/>
      <c r="Z66" s="60"/>
      <c r="AA66" s="60"/>
      <c r="AB66" s="66"/>
      <c r="AC66" s="66"/>
      <c r="AD66" s="66"/>
      <c r="AE66" s="66"/>
      <c r="AF66" s="66"/>
    </row>
    <row r="67" spans="1:32">
      <c r="A67" s="50"/>
      <c r="B67" s="51"/>
      <c r="C67" s="59"/>
      <c r="D67" s="59"/>
      <c r="E67" s="59"/>
      <c r="F67" s="59"/>
      <c r="G67" s="60"/>
      <c r="H67" s="60"/>
      <c r="I67" s="60"/>
      <c r="J67" s="60"/>
      <c r="K67" s="60"/>
      <c r="L67" s="60"/>
      <c r="M67" s="60"/>
      <c r="N67" s="60"/>
      <c r="O67" s="60"/>
      <c r="P67" s="60"/>
      <c r="Q67" s="60"/>
      <c r="R67" s="60"/>
      <c r="S67" s="60"/>
      <c r="T67" s="60"/>
      <c r="U67" s="60"/>
      <c r="V67" s="60"/>
      <c r="W67" s="60"/>
      <c r="X67" s="60"/>
      <c r="Y67" s="60"/>
      <c r="Z67" s="60"/>
      <c r="AA67" s="60"/>
      <c r="AB67" s="66"/>
      <c r="AC67" s="66"/>
      <c r="AD67" s="66"/>
      <c r="AE67" s="66"/>
      <c r="AF67" s="66"/>
    </row>
    <row r="68" spans="1:32" s="3" customFormat="1" ht="19.5">
      <c r="A68" s="54"/>
      <c r="B68" s="55"/>
      <c r="C68" s="56"/>
      <c r="D68" s="56"/>
      <c r="E68" s="56"/>
      <c r="F68" s="56"/>
      <c r="G68" s="57"/>
      <c r="H68" s="57"/>
      <c r="I68" s="57"/>
      <c r="J68" s="57"/>
      <c r="K68" s="57"/>
      <c r="L68" s="57"/>
      <c r="M68" s="57"/>
      <c r="N68" s="57"/>
      <c r="O68" s="57"/>
      <c r="P68" s="57"/>
      <c r="Q68" s="57"/>
      <c r="R68" s="57"/>
      <c r="S68" s="57"/>
      <c r="T68" s="57"/>
      <c r="U68" s="57"/>
      <c r="V68" s="57"/>
      <c r="W68" s="57"/>
      <c r="X68" s="57"/>
      <c r="Y68" s="57"/>
      <c r="Z68" s="57"/>
      <c r="AA68" s="57"/>
      <c r="AB68" s="73"/>
      <c r="AC68" s="73"/>
      <c r="AD68" s="73"/>
      <c r="AE68" s="73"/>
      <c r="AF68" s="73"/>
    </row>
    <row r="69" spans="1:32">
      <c r="A69" s="50"/>
      <c r="B69" s="43"/>
      <c r="C69" s="59"/>
      <c r="D69" s="59"/>
      <c r="E69" s="59"/>
      <c r="F69" s="59"/>
      <c r="G69" s="60"/>
      <c r="H69" s="60"/>
      <c r="I69" s="60"/>
      <c r="J69" s="60"/>
      <c r="K69" s="60"/>
      <c r="L69" s="60"/>
      <c r="M69" s="60"/>
      <c r="N69" s="60"/>
      <c r="O69" s="60"/>
      <c r="P69" s="60"/>
      <c r="Q69" s="60"/>
      <c r="R69" s="60"/>
      <c r="S69" s="60"/>
      <c r="T69" s="60"/>
      <c r="U69" s="60"/>
      <c r="V69" s="60"/>
      <c r="W69" s="60"/>
      <c r="X69" s="60"/>
      <c r="Y69" s="60"/>
      <c r="Z69" s="60"/>
      <c r="AA69" s="60"/>
      <c r="AB69" s="66"/>
      <c r="AC69" s="66"/>
      <c r="AD69" s="66"/>
      <c r="AE69" s="66"/>
      <c r="AF69" s="66"/>
    </row>
    <row r="70" spans="1:32">
      <c r="A70" s="61"/>
      <c r="B70" s="62"/>
      <c r="C70" s="63"/>
      <c r="D70" s="63"/>
      <c r="E70" s="63"/>
      <c r="F70" s="63"/>
      <c r="G70" s="64"/>
      <c r="H70" s="64"/>
      <c r="I70" s="64"/>
      <c r="J70" s="64"/>
      <c r="K70" s="64"/>
      <c r="L70" s="64"/>
      <c r="M70" s="64"/>
      <c r="N70" s="64"/>
      <c r="O70" s="64"/>
      <c r="P70" s="64"/>
      <c r="Q70" s="64"/>
      <c r="R70" s="64"/>
      <c r="S70" s="64"/>
      <c r="T70" s="64"/>
      <c r="U70" s="64"/>
      <c r="V70" s="64"/>
      <c r="W70" s="64"/>
      <c r="X70" s="64"/>
      <c r="Y70" s="64"/>
      <c r="Z70" s="64"/>
      <c r="AA70" s="64"/>
      <c r="AB70" s="74"/>
      <c r="AC70" s="74"/>
      <c r="AD70" s="74"/>
      <c r="AE70" s="74"/>
      <c r="AF70" s="74"/>
    </row>
    <row r="71" spans="1:32">
      <c r="A71" s="15"/>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32">
      <c r="A72" s="15"/>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32">
      <c r="A73" s="84" t="s">
        <v>196</v>
      </c>
      <c r="B73" s="38"/>
      <c r="C73" s="4"/>
      <c r="D73" s="4"/>
      <c r="E73" s="4"/>
      <c r="F73" s="4"/>
      <c r="G73" s="4"/>
      <c r="H73" s="4"/>
      <c r="I73" s="4"/>
      <c r="J73" s="4"/>
      <c r="K73" s="4"/>
      <c r="L73" s="4"/>
      <c r="M73" s="4"/>
      <c r="N73" s="4"/>
      <c r="O73" s="4"/>
      <c r="P73" s="4"/>
      <c r="Q73" s="4"/>
      <c r="R73" s="4"/>
      <c r="S73" s="4"/>
      <c r="T73" s="4"/>
      <c r="U73" s="4"/>
      <c r="V73" s="4"/>
      <c r="W73" s="4"/>
      <c r="X73" s="4"/>
      <c r="Y73" s="4"/>
      <c r="Z73" s="4"/>
      <c r="AA73" s="4"/>
    </row>
    <row r="74" spans="1:32">
      <c r="A74" s="84" t="s">
        <v>197</v>
      </c>
      <c r="B74" s="38"/>
      <c r="C74" s="4"/>
      <c r="D74" s="4"/>
      <c r="E74" s="4"/>
      <c r="F74" s="4"/>
      <c r="G74" s="4"/>
      <c r="H74" s="4"/>
      <c r="I74" s="4"/>
      <c r="J74" s="4"/>
      <c r="K74" s="4"/>
      <c r="L74" s="4"/>
      <c r="M74" s="4"/>
      <c r="N74" s="4"/>
      <c r="O74" s="4"/>
      <c r="P74" s="4"/>
      <c r="Q74" s="4"/>
      <c r="R74" s="4"/>
      <c r="S74" s="4"/>
      <c r="T74" s="4"/>
      <c r="U74" s="4"/>
      <c r="V74" s="4"/>
      <c r="W74" s="4"/>
      <c r="X74" s="4"/>
      <c r="Y74" s="4"/>
      <c r="Z74" s="4"/>
      <c r="AA74" s="4"/>
    </row>
    <row r="75" spans="1:32">
      <c r="A75" s="15"/>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32">
      <c r="A76" s="15"/>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32">
      <c r="A77" s="15"/>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32">
      <c r="A78" s="15"/>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32">
      <c r="A79" s="15"/>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32">
      <c r="A80" s="15"/>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c r="A81" s="15"/>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c r="A82" s="15"/>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c r="A83" s="15"/>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c r="A84" s="15"/>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c r="A85" s="15"/>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c r="A86" s="15"/>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c r="A87" s="15"/>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c r="A88" s="15"/>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c r="A89" s="15"/>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c r="A90" s="15"/>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c r="A91" s="15"/>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c r="A92" s="15"/>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c r="A93" s="15"/>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c r="A94" s="15"/>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c r="A95" s="15"/>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c r="A96" s="15"/>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c r="A97" s="15"/>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c r="A98" s="15"/>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c r="A99" s="15"/>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c r="A100" s="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c r="A101" s="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c r="A102" s="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c r="A103" s="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c r="A104" s="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c r="A105" s="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c r="A106" s="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c r="A107" s="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c r="A108" s="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c r="A109" s="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c r="A110" s="1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c r="A111" s="15"/>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c r="A112" s="15"/>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c r="A113" s="15"/>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c r="A114" s="1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c r="A115" s="1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c r="A116" s="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c r="A117" s="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c r="A118" s="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c r="A119" s="1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c r="A120" s="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c r="A121" s="1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c r="A122" s="1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c r="A123" s="1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c r="A124" s="1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c r="A125" s="1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c r="A126" s="1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c r="A127" s="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c r="A128" s="1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c r="A129" s="1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c r="A130" s="1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c r="A131" s="1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c r="A132" s="1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c r="A133" s="1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c r="A134" s="1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c r="A135" s="1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c r="A136" s="1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c r="A137" s="1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c r="A138" s="1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c r="A139" s="1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c r="A140" s="1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c r="A141" s="1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c r="A142" s="1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c r="A143" s="1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c r="A144" s="1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c r="A145" s="1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c r="A146" s="1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c r="A147" s="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c r="A148" s="1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c r="A149" s="1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c r="A150" s="1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c r="A151" s="1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c r="A152" s="1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c r="A153" s="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c r="A154" s="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c r="A155" s="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c r="A156" s="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c r="A157" s="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c r="A158" s="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c r="A159" s="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c r="A160" s="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c r="A161" s="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c r="A162" s="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c r="A163" s="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c r="A164" s="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c r="A165" s="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c r="A166" s="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c r="A167" s="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c r="A168" s="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c r="A169" s="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c r="A170" s="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c r="A171" s="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c r="A172" s="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c r="A173" s="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c r="A174" s="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c r="A175" s="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c r="A176" s="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c r="A177" s="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c r="A178" s="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c r="A179" s="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c r="A180" s="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c r="A181" s="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c r="A182" s="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c r="A183" s="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c r="A184" s="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c r="A185" s="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c r="A186" s="1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c r="A187" s="1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c r="A188" s="1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c r="A189" s="1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c r="A190" s="1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c r="A191" s="1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c r="A192" s="15"/>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c r="A193" s="15"/>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c r="A194" s="15"/>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c r="A195" s="15"/>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c r="A196" s="15"/>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c r="A197" s="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c r="A198" s="15"/>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c r="A199" s="15"/>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c r="A200" s="15"/>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c r="A201" s="15"/>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c r="A202" s="15"/>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c r="A203" s="15"/>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c r="A204" s="15"/>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c r="A205" s="15"/>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c r="A206" s="15"/>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c r="A207" s="15"/>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c r="A208" s="15"/>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c r="A209" s="15"/>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c r="A210" s="15"/>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c r="A211" s="15"/>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c r="A212" s="15"/>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c r="A213" s="15"/>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c r="A214" s="15"/>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c r="A215" s="15"/>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c r="A216" s="15"/>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c r="A217" s="15"/>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c r="A218" s="15"/>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c r="A219" s="15"/>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c r="A220" s="15"/>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c r="A221" s="15"/>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c r="A222" s="15"/>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c r="A223" s="15"/>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c r="A224" s="15"/>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c r="A225" s="15"/>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c r="A226" s="15"/>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c r="A227" s="15"/>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c r="A228" s="15"/>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c r="A229" s="15"/>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c r="A230" s="15"/>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c r="A231" s="15"/>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c r="A232" s="15"/>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c r="A233" s="15"/>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c r="A234" s="15"/>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c r="A235" s="15"/>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c r="A236" s="15"/>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c r="A237" s="15"/>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c r="A238" s="15"/>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c r="A239" s="15"/>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c r="A240" s="15"/>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c r="A241" s="15"/>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c r="A242" s="15"/>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c r="A243" s="15"/>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c r="A244" s="15"/>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c r="A245" s="15"/>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c r="A246" s="15"/>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c r="A247" s="15"/>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c r="A248" s="15"/>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c r="A249" s="15"/>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c r="A250" s="15"/>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c r="A251" s="15"/>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c r="A256" s="15"/>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c r="A257" s="15"/>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c r="A258" s="15"/>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c r="A259" s="15"/>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c r="A260" s="15"/>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c r="A261" s="15"/>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c r="A262" s="15"/>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c r="A263" s="15"/>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c r="A264" s="15"/>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c r="A265" s="15"/>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c r="A266" s="15"/>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c r="A267" s="15"/>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c r="A268" s="15"/>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c r="A269" s="15"/>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c r="A270" s="15"/>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c r="A271" s="15"/>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c r="A272" s="1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c r="A273" s="15"/>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c r="A274" s="15"/>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c r="A275" s="15"/>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c r="A276" s="15"/>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c r="A277" s="15"/>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c r="A278" s="1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c r="A279" s="15"/>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c r="A280" s="15"/>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c r="A281" s="15"/>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c r="A282" s="15"/>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c r="A283" s="15"/>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c r="A284" s="15"/>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c r="A285" s="15"/>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c r="A286" s="15"/>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c r="A287" s="15"/>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c r="A288" s="15"/>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c r="A289" s="15"/>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c r="A290" s="15"/>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c r="A291" s="15"/>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c r="A292" s="1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c r="A293" s="1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sheetData>
  <mergeCells count="45">
    <mergeCell ref="W8:Y8"/>
    <mergeCell ref="Z8:AB8"/>
    <mergeCell ref="F8:F11"/>
    <mergeCell ref="G8:J8"/>
    <mergeCell ref="K8:M8"/>
    <mergeCell ref="N8:P8"/>
    <mergeCell ref="Q8:S8"/>
    <mergeCell ref="G9:G11"/>
    <mergeCell ref="H9:I10"/>
    <mergeCell ref="J9:J11"/>
    <mergeCell ref="K9:K11"/>
    <mergeCell ref="O9:P10"/>
    <mergeCell ref="R9:S10"/>
    <mergeCell ref="AC8:AE8"/>
    <mergeCell ref="L9:M10"/>
    <mergeCell ref="N9:N11"/>
    <mergeCell ref="Q9:Q11"/>
    <mergeCell ref="T9:T11"/>
    <mergeCell ref="T8:V8"/>
    <mergeCell ref="AC9:AC11"/>
    <mergeCell ref="AD9:AD11"/>
    <mergeCell ref="AE9:AE11"/>
    <mergeCell ref="U9:V10"/>
    <mergeCell ref="W9:W11"/>
    <mergeCell ref="X9:X11"/>
    <mergeCell ref="Y9:Y11"/>
    <mergeCell ref="Z9:Z11"/>
    <mergeCell ref="AA9:AA11"/>
    <mergeCell ref="AB9:AB11"/>
    <mergeCell ref="A2:AF2"/>
    <mergeCell ref="A3:AF3"/>
    <mergeCell ref="A4:AF4"/>
    <mergeCell ref="A5:AF5"/>
    <mergeCell ref="A6:A11"/>
    <mergeCell ref="B6:B11"/>
    <mergeCell ref="C6:C11"/>
    <mergeCell ref="D6:D11"/>
    <mergeCell ref="E6:E11"/>
    <mergeCell ref="F6:J7"/>
    <mergeCell ref="K6:V7"/>
    <mergeCell ref="W6:AB6"/>
    <mergeCell ref="AC6:AE7"/>
    <mergeCell ref="AF6:AF11"/>
    <mergeCell ref="W7:Y7"/>
    <mergeCell ref="Z7:AB7"/>
  </mergeCells>
  <printOptions horizontalCentered="1"/>
  <pageMargins left="0" right="0" top="0.44" bottom="0.55000000000000004" header="0.3" footer="0.3"/>
  <pageSetup paperSize="9" scale="4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B1 THTW</vt:lpstr>
      <vt:lpstr>B.I THDP</vt:lpstr>
      <vt:lpstr>B.II TW trong nuoc</vt:lpstr>
      <vt:lpstr>B.III ODA</vt:lpstr>
      <vt:lpstr>B.IV NST</vt:lpstr>
      <vt:lpstr>B.V CTMTQG</vt:lpstr>
      <vt:lpstr>B.V.1 CTMTQG</vt:lpstr>
      <vt:lpstr>B.V.3. CTMTQG</vt:lpstr>
      <vt:lpstr>B.V.5. CTMTQG</vt:lpstr>
      <vt:lpstr>B.VI nguon thu</vt:lpstr>
      <vt:lpstr>'B.I THDP'!Print_Area</vt:lpstr>
      <vt:lpstr>'B.II TW trong nuoc'!Print_Area</vt:lpstr>
      <vt:lpstr>'B.III ODA'!Print_Area</vt:lpstr>
      <vt:lpstr>'B.IV NST'!Print_Area</vt:lpstr>
      <vt:lpstr>'B.V.1 CTMTQG'!Print_Area</vt:lpstr>
      <vt:lpstr>'B.VI nguon thu'!Print_Area</vt:lpstr>
      <vt:lpstr>'B1 THTW'!Print_Area</vt:lpstr>
      <vt:lpstr>'B.I THDP'!Print_Titles</vt:lpstr>
      <vt:lpstr>'B.II TW trong nuoc'!Print_Titles</vt:lpstr>
      <vt:lpstr>'B.III ODA'!Print_Titles</vt:lpstr>
      <vt:lpstr>'B.IV NST'!Print_Titles</vt:lpstr>
      <vt:lpstr>'B.V CTMTQG'!Print_Titles</vt:lpstr>
      <vt:lpstr>'B.V.1 CTMTQG'!Print_Titles</vt:lpstr>
      <vt:lpstr>'B.V.3. CTMTQG'!Print_Titles</vt:lpstr>
      <vt:lpstr>'B.VI nguon thu'!Print_Titles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Tran Cong Nguyen</cp:lastModifiedBy>
  <cp:lastPrinted>2024-07-31T02:14:41Z</cp:lastPrinted>
  <dcterms:created xsi:type="dcterms:W3CDTF">2011-09-23T07:23:18Z</dcterms:created>
  <dcterms:modified xsi:type="dcterms:W3CDTF">2024-08-08T09:11:40Z</dcterms:modified>
</cp:coreProperties>
</file>